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20880" windowHeight="11955" activeTab="0"/>
  </bookViews>
  <sheets>
    <sheet name="AnaSayfa" sheetId="1" r:id="rId1"/>
    <sheet name="mmo.hp" sheetId="2" state="hidden" r:id="rId2"/>
    <sheet name="mmo.gm" sheetId="3" state="hidden" r:id="rId3"/>
    <sheet name="mmo.kş" sheetId="4" state="hidden" r:id="rId4"/>
  </sheets>
  <definedNames>
    <definedName name="a">'mmo.hp'!$C$40:$C$43</definedName>
    <definedName name="aa">'mmo.hp'!$C$40:$D$43</definedName>
    <definedName name="b">'mmo.hp'!$K$16</definedName>
    <definedName name="ba">'mmo.hp'!$L$16</definedName>
    <definedName name="bb">'mmo.hp'!$M$16</definedName>
    <definedName name="bc">'mmo.hp'!$N$16</definedName>
    <definedName name="d">'mmo.hp'!$F$38:$F$40</definedName>
    <definedName name="e">'mmo.hp'!$H$38:$H$39</definedName>
    <definedName name="f">'mmo.hp'!$H$39</definedName>
    <definedName name="g">'mmo.hp'!$H$33</definedName>
    <definedName name="ga">'mmo.hp'!$I$33</definedName>
    <definedName name="gb">'mmo.hp'!$J$33</definedName>
    <definedName name="gc">'mmo.hp'!$K$33</definedName>
    <definedName name="gd">'mmo.hp'!$L$33</definedName>
    <definedName name="ge">'mmo.hp'!$M$33</definedName>
    <definedName name="gf">'mmo.hp'!$N$33</definedName>
    <definedName name="h">'mmo.kş'!$C$9</definedName>
    <definedName name="i">'mmo.kş'!$C$9:$N$9</definedName>
    <definedName name="j">'mmo.kş'!$D$9</definedName>
    <definedName name="ja">'mmo.kş'!$E$9</definedName>
    <definedName name="jb">'mmo.kş'!$F$9</definedName>
    <definedName name="jc">'mmo.kş'!$G$9</definedName>
    <definedName name="jd">'mmo.kş'!$H$9</definedName>
    <definedName name="je">'mmo.kş'!$I$9</definedName>
    <definedName name="jf">'mmo.kş'!$J$9</definedName>
    <definedName name="jg">'mmo.kş'!$K$9</definedName>
    <definedName name="jh">'mmo.kş'!$L$9</definedName>
    <definedName name="ji">'mmo.kş'!$M$9</definedName>
    <definedName name="jj">'mmo.kş'!$N$9</definedName>
    <definedName name="k">'mmo.kş'!$C$9:$N$53</definedName>
    <definedName name="l">'mmo.kş'!$C$71:$N$71</definedName>
    <definedName name="m">'mmo.kş'!$C$71:$N$115</definedName>
    <definedName name="n">'mmo.hp'!$F$42:$F$43</definedName>
    <definedName name="o">'mmo.hp'!$P$1:$P$101</definedName>
    <definedName name="_xlnm.Print_Area" localSheetId="0">'AnaSayfa'!$A$1:$W$32</definedName>
  </definedNames>
  <calcPr fullCalcOnLoad="1"/>
</workbook>
</file>

<file path=xl/comments2.xml><?xml version="1.0" encoding="utf-8"?>
<comments xmlns="http://schemas.openxmlformats.org/spreadsheetml/2006/main">
  <authors>
    <author>M.M.O</author>
    <author>NASIF</author>
  </authors>
  <commentList>
    <comment ref="K8" authorId="0">
      <text>
        <r>
          <rPr>
            <b/>
            <u val="single"/>
            <sz val="8"/>
            <rFont val="Tahoma"/>
            <family val="2"/>
          </rPr>
          <t>mmo konya :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7"/>
            <rFont val="Tahoma"/>
            <family val="2"/>
          </rPr>
          <t xml:space="preserve">BB = </t>
        </r>
        <r>
          <rPr>
            <b/>
            <sz val="7"/>
            <color indexed="12"/>
            <rFont val="Tahoma"/>
            <family val="2"/>
          </rPr>
          <t>B</t>
        </r>
        <r>
          <rPr>
            <b/>
            <sz val="7"/>
            <rFont val="Tahoma"/>
            <family val="2"/>
          </rPr>
          <t xml:space="preserve">enzer </t>
        </r>
        <r>
          <rPr>
            <b/>
            <sz val="8"/>
            <color indexed="12"/>
            <rFont val="Tahoma"/>
            <family val="2"/>
          </rPr>
          <t>B</t>
        </r>
        <r>
          <rPr>
            <b/>
            <sz val="7"/>
            <rFont val="Tahoma"/>
            <family val="2"/>
          </rPr>
          <t>lok</t>
        </r>
        <r>
          <rPr>
            <sz val="8"/>
            <rFont val="Tahoma"/>
            <family val="0"/>
          </rPr>
          <t xml:space="preserve">
</t>
        </r>
      </text>
    </comment>
    <comment ref="C39" authorId="1">
      <text>
        <r>
          <rPr>
            <b/>
            <u val="single"/>
            <sz val="8"/>
            <rFont val="Tahoma"/>
            <family val="2"/>
          </rPr>
          <t xml:space="preserve">mmo konya :
</t>
        </r>
        <r>
          <rPr>
            <b/>
            <sz val="7"/>
            <rFont val="Tahoma"/>
            <family val="2"/>
          </rPr>
          <t xml:space="preserve">BBS = </t>
        </r>
        <r>
          <rPr>
            <b/>
            <sz val="7"/>
            <color indexed="12"/>
            <rFont val="Tahoma"/>
            <family val="2"/>
          </rPr>
          <t>B</t>
        </r>
        <r>
          <rPr>
            <b/>
            <sz val="7"/>
            <rFont val="Tahoma"/>
            <family val="2"/>
          </rPr>
          <t xml:space="preserve">enzer </t>
        </r>
        <r>
          <rPr>
            <b/>
            <sz val="7"/>
            <color indexed="12"/>
            <rFont val="Tahoma"/>
            <family val="2"/>
          </rPr>
          <t>B</t>
        </r>
        <r>
          <rPr>
            <b/>
            <sz val="7"/>
            <rFont val="Tahoma"/>
            <family val="2"/>
          </rPr>
          <t xml:space="preserve">lok </t>
        </r>
        <r>
          <rPr>
            <b/>
            <sz val="7"/>
            <color indexed="12"/>
            <rFont val="Tahoma"/>
            <family val="2"/>
          </rPr>
          <t>S</t>
        </r>
        <r>
          <rPr>
            <b/>
            <sz val="7"/>
            <rFont val="Tahoma"/>
            <family val="2"/>
          </rPr>
          <t>ayısı</t>
        </r>
        <r>
          <rPr>
            <sz val="8"/>
            <rFont val="Tahoma"/>
            <family val="0"/>
          </rPr>
          <t xml:space="preserve">
</t>
        </r>
      </text>
    </comment>
    <comment ref="J41" authorId="0">
      <text>
        <r>
          <rPr>
            <b/>
            <u val="single"/>
            <sz val="8"/>
            <rFont val="Tahoma"/>
            <family val="2"/>
          </rPr>
          <t xml:space="preserve">mmo konya :
</t>
        </r>
        <r>
          <rPr>
            <b/>
            <sz val="8"/>
            <color indexed="12"/>
            <rFont val="Tahoma"/>
            <family val="2"/>
          </rPr>
          <t xml:space="preserve">PB </t>
        </r>
        <r>
          <rPr>
            <sz val="8"/>
            <rFont val="Tahoma"/>
            <family val="2"/>
          </rPr>
          <t xml:space="preserve">= </t>
        </r>
        <r>
          <rPr>
            <b/>
            <sz val="8"/>
            <color indexed="12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ROJE </t>
        </r>
        <r>
          <rPr>
            <b/>
            <sz val="8"/>
            <color indexed="12"/>
            <rFont val="Tahoma"/>
            <family val="2"/>
          </rPr>
          <t>B</t>
        </r>
        <r>
          <rPr>
            <sz val="8"/>
            <rFont val="Tahoma"/>
            <family val="2"/>
          </rPr>
          <t>EDELİ</t>
        </r>
        <r>
          <rPr>
            <sz val="8"/>
            <rFont val="Tahoma"/>
            <family val="0"/>
          </rPr>
          <t xml:space="preserve">
</t>
        </r>
      </text>
    </comment>
    <comment ref="J42" authorId="0">
      <text>
        <r>
          <rPr>
            <b/>
            <u val="single"/>
            <sz val="8"/>
            <rFont val="Tahoma"/>
            <family val="2"/>
          </rPr>
          <t xml:space="preserve">mmo konya :
</t>
        </r>
        <r>
          <rPr>
            <b/>
            <sz val="8"/>
            <color indexed="12"/>
            <rFont val="Tahoma"/>
            <family val="2"/>
          </rPr>
          <t xml:space="preserve">MDÜ </t>
        </r>
        <r>
          <rPr>
            <sz val="8"/>
            <rFont val="Tahoma"/>
            <family val="2"/>
          </rPr>
          <t xml:space="preserve">= </t>
        </r>
        <r>
          <rPr>
            <b/>
            <sz val="8"/>
            <color indexed="12"/>
            <rFont val="Tahoma"/>
            <family val="2"/>
          </rPr>
          <t>M</t>
        </r>
        <r>
          <rPr>
            <sz val="8"/>
            <rFont val="Tahoma"/>
            <family val="2"/>
          </rPr>
          <t xml:space="preserve">ESLEKİ </t>
        </r>
        <r>
          <rPr>
            <b/>
            <sz val="8"/>
            <color indexed="12"/>
            <rFont val="Tahoma"/>
            <family val="2"/>
          </rPr>
          <t>D</t>
        </r>
        <r>
          <rPr>
            <sz val="8"/>
            <rFont val="Tahoma"/>
            <family val="2"/>
          </rPr>
          <t xml:space="preserve">ENETİM </t>
        </r>
        <r>
          <rPr>
            <b/>
            <sz val="8"/>
            <color indexed="12"/>
            <rFont val="Tahoma"/>
            <family val="2"/>
          </rPr>
          <t>Ü</t>
        </r>
        <r>
          <rPr>
            <sz val="8"/>
            <rFont val="Tahoma"/>
            <family val="2"/>
          </rPr>
          <t>CRETİ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<sst xmlns="http://schemas.openxmlformats.org/spreadsheetml/2006/main" count="265" uniqueCount="186">
  <si>
    <t>1. SINIF</t>
  </si>
  <si>
    <t>2. SINIF</t>
  </si>
  <si>
    <t>3A SINIF</t>
  </si>
  <si>
    <t>3B SINIF</t>
  </si>
  <si>
    <t>4A SINIF</t>
  </si>
  <si>
    <t>4B SINIF</t>
  </si>
  <si>
    <t>4C SINIF</t>
  </si>
  <si>
    <t>5A SINIF</t>
  </si>
  <si>
    <t>5B SINIF</t>
  </si>
  <si>
    <t>5C SINIF</t>
  </si>
  <si>
    <t>5D SINIF</t>
  </si>
  <si>
    <t>NOT :</t>
  </si>
  <si>
    <t>TUS</t>
  </si>
  <si>
    <t>PROJE</t>
  </si>
  <si>
    <t>[YTL]</t>
  </si>
  <si>
    <t>3A</t>
  </si>
  <si>
    <t>3B</t>
  </si>
  <si>
    <t>4A</t>
  </si>
  <si>
    <t>4B</t>
  </si>
  <si>
    <t>4C</t>
  </si>
  <si>
    <t>5A</t>
  </si>
  <si>
    <t>5B</t>
  </si>
  <si>
    <t>5C</t>
  </si>
  <si>
    <t>5D</t>
  </si>
  <si>
    <t>SEÇİNİZ</t>
  </si>
  <si>
    <t>Var</t>
  </si>
  <si>
    <t>HESAPLA</t>
  </si>
  <si>
    <t>I</t>
  </si>
  <si>
    <t>J</t>
  </si>
  <si>
    <t>K</t>
  </si>
  <si>
    <t>L</t>
  </si>
  <si>
    <t>M</t>
  </si>
  <si>
    <t>Yok</t>
  </si>
  <si>
    <t>H</t>
  </si>
  <si>
    <t>G</t>
  </si>
  <si>
    <t>BB Yok</t>
  </si>
  <si>
    <t>1 Blok</t>
  </si>
  <si>
    <t>m</t>
  </si>
  <si>
    <t>l</t>
  </si>
  <si>
    <t>k</t>
  </si>
  <si>
    <t>i</t>
  </si>
  <si>
    <t>f</t>
  </si>
  <si>
    <t>b</t>
  </si>
  <si>
    <t>g</t>
  </si>
  <si>
    <t>d</t>
  </si>
  <si>
    <t>N</t>
  </si>
  <si>
    <t>YAPI ALANI</t>
  </si>
  <si>
    <r>
      <t>[m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]</t>
    </r>
  </si>
  <si>
    <t xml:space="preserve">   YAPI</t>
  </si>
  <si>
    <t xml:space="preserve">  1.SINIF</t>
  </si>
  <si>
    <t>2.SINIF</t>
  </si>
  <si>
    <t xml:space="preserve"> 3 A SINIF</t>
  </si>
  <si>
    <t xml:space="preserve"> 3 B SINIF</t>
  </si>
  <si>
    <t xml:space="preserve">   4 A SINIF</t>
  </si>
  <si>
    <t xml:space="preserve"> 4 B SINIF</t>
  </si>
  <si>
    <t xml:space="preserve"> 4 C SINIF</t>
  </si>
  <si>
    <t xml:space="preserve">  5 A SINIF</t>
  </si>
  <si>
    <t xml:space="preserve"> 5 B SINIF</t>
  </si>
  <si>
    <t xml:space="preserve">  5 C SINIF</t>
  </si>
  <si>
    <t xml:space="preserve"> 5 D SINIF</t>
  </si>
  <si>
    <t xml:space="preserve">  ALANI</t>
  </si>
  <si>
    <t>1SINIF</t>
  </si>
  <si>
    <t>2SINIF</t>
  </si>
  <si>
    <t>YTL</t>
  </si>
  <si>
    <t>Yukarıdaki fiyatlara KDV dahil değildir.</t>
  </si>
  <si>
    <t>YAPI</t>
  </si>
  <si>
    <t>ALANI</t>
  </si>
  <si>
    <t>İlk Değer</t>
  </si>
  <si>
    <t>Son Değer</t>
  </si>
  <si>
    <t>İlk Ücret</t>
  </si>
  <si>
    <t>Son Ücret</t>
  </si>
  <si>
    <t>ASGARİ</t>
  </si>
  <si>
    <t>ÜCRET</t>
  </si>
  <si>
    <t xml:space="preserve">  TESİSAT MÜHENDİSLİĞİ PROJE HİZMETLERİ ASGARİ ÜCRETLERİ</t>
  </si>
  <si>
    <t>BB Var</t>
  </si>
  <si>
    <t>P   R   O   J   E</t>
  </si>
  <si>
    <t>ENTERPOLASYONLA HESAPLAMA PROĞRAMI</t>
  </si>
  <si>
    <t xml:space="preserve">                ENTERPOLASYONLA HESAPLAMA PROĞRAMI</t>
  </si>
  <si>
    <t>T   O   P   L   A   M</t>
  </si>
  <si>
    <t>TESİSAT MÜHENDİSLİĞİ PROJE HİZMETLERİ MESLEKİ DENETİM ÜCRETLERİ</t>
  </si>
  <si>
    <r>
      <t xml:space="preserve">  </t>
    </r>
    <r>
      <rPr>
        <b/>
        <sz val="6"/>
        <rFont val="Arial"/>
        <family val="2"/>
      </rPr>
      <t xml:space="preserve">  </t>
    </r>
    <r>
      <rPr>
        <b/>
        <sz val="8"/>
        <rFont val="Arial"/>
        <family val="2"/>
      </rPr>
      <t>KATSAYILAR</t>
    </r>
  </si>
  <si>
    <t>D</t>
  </si>
  <si>
    <t>E</t>
  </si>
  <si>
    <t>F</t>
  </si>
  <si>
    <t>BenzerlikYok</t>
  </si>
  <si>
    <t>BBS</t>
  </si>
  <si>
    <t>a</t>
  </si>
  <si>
    <t>e</t>
  </si>
  <si>
    <t>h</t>
  </si>
  <si>
    <t>j</t>
  </si>
  <si>
    <t>aa</t>
  </si>
  <si>
    <t>ba</t>
  </si>
  <si>
    <t>bb</t>
  </si>
  <si>
    <t>bc</t>
  </si>
  <si>
    <t>ga</t>
  </si>
  <si>
    <t>gb</t>
  </si>
  <si>
    <t>gc</t>
  </si>
  <si>
    <t>gd</t>
  </si>
  <si>
    <t>ge</t>
  </si>
  <si>
    <t>gf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</si>
  <si>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</si>
  <si>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</si>
  <si>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</si>
  <si>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</si>
  <si>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</si>
  <si>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</si>
  <si>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</si>
  <si>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</si>
  <si>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</si>
  <si>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</si>
  <si>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TMMOB MMO SERBEST MÜŞAVİRLİK VE MÜHENDİSLİK HİZMETLERİ VE ASGARİ ÜCRETLERİ</t>
  </si>
  <si>
    <t>&lt;=</t>
  </si>
  <si>
    <t>&gt;</t>
  </si>
  <si>
    <r>
      <t>m</t>
    </r>
    <r>
      <rPr>
        <b/>
        <vertAlign val="superscript"/>
        <sz val="8"/>
        <color indexed="53"/>
        <rFont val="Arial"/>
        <family val="2"/>
      </rPr>
      <t>2</t>
    </r>
  </si>
  <si>
    <r>
      <t>m</t>
    </r>
    <r>
      <rPr>
        <b/>
        <vertAlign val="superscript"/>
        <sz val="8"/>
        <color indexed="23"/>
        <rFont val="Arial"/>
        <family val="2"/>
      </rPr>
      <t>2</t>
    </r>
  </si>
  <si>
    <r>
      <t xml:space="preserve"> </t>
    </r>
    <r>
      <rPr>
        <sz val="8"/>
        <rFont val="Arial"/>
        <family val="2"/>
      </rPr>
      <t>İnşaat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Aralıkları</t>
    </r>
  </si>
  <si>
    <t xml:space="preserve">    HESAPLAMA KRİTERLERİ</t>
  </si>
  <si>
    <r>
      <t>İnşaat Alanı [m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] : </t>
    </r>
  </si>
  <si>
    <t>Proje Sınıfı :</t>
  </si>
  <si>
    <t>Benzerlik Durumu :</t>
  </si>
  <si>
    <t>Benzer Blok Sayısı :</t>
  </si>
  <si>
    <t xml:space="preserve">      [PROJE &amp; TUS]</t>
  </si>
  <si>
    <t xml:space="preserve">Not : Fenni Mesuliyet ücretleri proje ücreti kadardır. </t>
  </si>
  <si>
    <t>Fenni Mesuliyet ücretleri proje ücreti kadardır.</t>
  </si>
  <si>
    <t>Yöre katsayısı 0,6 alınmış olup, bu ücretlere ayrıca yöre katsayısı uygulaması yapılmayacaktır.</t>
  </si>
  <si>
    <t>Tüm şube ve birimlerinde bu ücretler uygulacaktır.</t>
  </si>
  <si>
    <t>2. Yeni kuruşlar YTL'ye yuvarlanacaktır.</t>
  </si>
  <si>
    <t>4. Ara değerlerde enterpolasyon yapılır.</t>
  </si>
  <si>
    <t>1. Bölge katsayısı 0,6 olarak alınmıştır.</t>
  </si>
  <si>
    <t xml:space="preserve">            TMMOB MMO SERBEST MÜŞAVİRLİK MÜHENDİSLİK HİZMETLERİ ve ASGARİ ÜCRETLERİ</t>
  </si>
  <si>
    <r>
      <t>m</t>
    </r>
    <r>
      <rPr>
        <vertAlign val="superscript"/>
        <sz val="6"/>
        <rFont val="Arial Narrow"/>
        <family val="2"/>
      </rPr>
      <t>2</t>
    </r>
  </si>
  <si>
    <r>
      <t xml:space="preserve">    m</t>
    </r>
    <r>
      <rPr>
        <b/>
        <vertAlign val="superscript"/>
        <sz val="6"/>
        <rFont val="Arial Narrow"/>
        <family val="2"/>
      </rPr>
      <t>2</t>
    </r>
  </si>
  <si>
    <r>
      <t xml:space="preserve">   YTL/m</t>
    </r>
    <r>
      <rPr>
        <vertAlign val="superscript"/>
        <sz val="6"/>
        <rFont val="Arial Narrow"/>
        <family val="2"/>
      </rPr>
      <t>2</t>
    </r>
  </si>
  <si>
    <r>
      <t xml:space="preserve">  YTL/m</t>
    </r>
    <r>
      <rPr>
        <vertAlign val="superscript"/>
        <sz val="6"/>
        <rFont val="Arial Narrow"/>
        <family val="2"/>
      </rPr>
      <t>2</t>
    </r>
  </si>
  <si>
    <r>
      <t xml:space="preserve">TESİSAT MÜHENDİSLİĞİ PROJE HİZMETLERİ ASGARİ ÜCRETLERİ   </t>
    </r>
    <r>
      <rPr>
        <b/>
        <sz val="8"/>
        <color indexed="12"/>
        <rFont val="Arial Narrow"/>
        <family val="2"/>
      </rPr>
      <t>EK-1</t>
    </r>
    <r>
      <rPr>
        <b/>
        <sz val="8"/>
        <rFont val="Arial Narrow"/>
        <family val="2"/>
      </rPr>
      <t xml:space="preserve"> </t>
    </r>
  </si>
  <si>
    <t>Not : Yöre katsayısı 0,6 alınmış olup, bu ücretlere ayrıca yöre katsayısı uygulaması yapılmayacaktır. Tüm şube ve birimlerinde bu ücretler uygulanacaktır.</t>
  </si>
  <si>
    <t>n</t>
  </si>
  <si>
    <t>3. Mesleki denetim ücretleri, proje ve fenni mesuliyet için ayrı olarak alınacaktır.</t>
  </si>
  <si>
    <r>
      <t xml:space="preserve">                          TESİSAT MÜHENDİSLİĞİ PROJE HİZMETLERİ ASGARİ ÜCRETLERİ   </t>
    </r>
    <r>
      <rPr>
        <b/>
        <sz val="9"/>
        <color indexed="12"/>
        <rFont val="Arial"/>
        <family val="2"/>
      </rPr>
      <t>[EK-1]</t>
    </r>
  </si>
  <si>
    <r>
      <t xml:space="preserve">                TESİSAT MÜHENDİSLİĞİ PROJE HİZMETLERİ MESLEKİ DENETİM ÜCRETLERİ   </t>
    </r>
    <r>
      <rPr>
        <b/>
        <sz val="9"/>
        <color indexed="12"/>
        <rFont val="Arial"/>
        <family val="2"/>
      </rPr>
      <t>[EK-2]</t>
    </r>
  </si>
  <si>
    <t>Tutar</t>
  </si>
  <si>
    <t>Asansör</t>
  </si>
  <si>
    <t>Ücret</t>
  </si>
  <si>
    <t xml:space="preserve">          ASANSÖR AVAN PROJE</t>
  </si>
  <si>
    <t>MDÜ</t>
  </si>
  <si>
    <t>PB</t>
  </si>
  <si>
    <t>C33</t>
  </si>
  <si>
    <t>C34</t>
  </si>
  <si>
    <t>C35</t>
  </si>
  <si>
    <t>C36</t>
  </si>
  <si>
    <t>C37</t>
  </si>
  <si>
    <t>C38</t>
  </si>
  <si>
    <t>C39</t>
  </si>
  <si>
    <r>
      <t xml:space="preserve">Copyright </t>
    </r>
    <r>
      <rPr>
        <sz val="8"/>
        <color indexed="22"/>
        <rFont val="Arial"/>
        <family val="2"/>
      </rPr>
      <t>©</t>
    </r>
    <r>
      <rPr>
        <sz val="7"/>
        <color indexed="22"/>
        <rFont val="Arial"/>
        <family val="2"/>
      </rPr>
      <t xml:space="preserve"> 2007 NÇ/mm</t>
    </r>
  </si>
  <si>
    <t>C41</t>
  </si>
  <si>
    <t>[Asansör/YTL]</t>
  </si>
  <si>
    <t>[Adet]</t>
  </si>
  <si>
    <t xml:space="preserve">     HESAPLAMA KRİTERLERİ</t>
  </si>
  <si>
    <t xml:space="preserve">   ■ BÜLTEN {Yerel Süreli Yayın - İki Ayda Bir Yayınlanır.}    ■ Üyelerimize ÜCRETSİZ Gönderilir.</t>
  </si>
  <si>
    <t xml:space="preserve">                                           Tüm Meslektaşlarımıza Başarılar Dileriz.</t>
  </si>
  <si>
    <t>Sağlıklı ve Sürekli İletişim İçin; Değişen  ■ Kimlik ■ Adres ■ Telefon  Bilgilerinizi Güncellettiriniz.</t>
  </si>
  <si>
    <t xml:space="preserve">         ■ TELEFON : (0 332) 238 52 70 {PBX} - (0 332) 444 8 666        ■ FAKS : (0 332) 238 52 75</t>
  </si>
  <si>
    <t xml:space="preserve">                  ■ WEB : http://konya.mmo.org.tr             ■ E-POSTA : konya@mmo.org.tr</t>
  </si>
  <si>
    <t xml:space="preserve">    ■ MATİT : ''Makina  'Tasarım ve İmalat'  Teknolojileri Kongresi''   ■ İki Yılda Bir Yapılmaktadır.</t>
  </si>
  <si>
    <t xml:space="preserve"> Babalık Mah. Hazım Uluşahin İş Merkezi A-Blok Kat: 1 No: 120-121-122 ■  42060 Selçuklu/KONYA</t>
  </si>
  <si>
    <t>C43</t>
  </si>
  <si>
    <t>C44</t>
  </si>
  <si>
    <r>
      <t xml:space="preserve"> İNŞAAT</t>
    </r>
    <r>
      <rPr>
        <b/>
        <sz val="13"/>
        <rFont val="Arial"/>
        <family val="2"/>
      </rPr>
      <t xml:space="preserve"> </t>
    </r>
    <r>
      <rPr>
        <b/>
        <sz val="12"/>
        <rFont val="Arial"/>
        <family val="2"/>
      </rPr>
      <t>ALANI [İA] [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2</t>
    </r>
    <r>
      <rPr>
        <b/>
        <sz val="12"/>
        <rFont val="Arial"/>
        <family val="2"/>
      </rPr>
      <t>]</t>
    </r>
    <r>
      <rPr>
        <b/>
        <sz val="6"/>
        <rFont val="Arial"/>
        <family val="2"/>
      </rPr>
      <t xml:space="preserve"> </t>
    </r>
    <r>
      <rPr>
        <b/>
        <sz val="12"/>
        <rFont val="Arial"/>
        <family val="2"/>
      </rPr>
      <t>.......................:</t>
    </r>
  </si>
  <si>
    <r>
      <t xml:space="preserve"> PROJE</t>
    </r>
    <r>
      <rPr>
        <b/>
        <sz val="13"/>
        <rFont val="Arial"/>
        <family val="2"/>
      </rPr>
      <t xml:space="preserve"> </t>
    </r>
    <r>
      <rPr>
        <b/>
        <sz val="12"/>
        <rFont val="Arial"/>
        <family val="2"/>
      </rPr>
      <t>SINIFI [PS]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............................</t>
    </r>
    <r>
      <rPr>
        <b/>
        <sz val="13"/>
        <rFont val="Arial"/>
        <family val="2"/>
      </rPr>
      <t>.</t>
    </r>
    <r>
      <rPr>
        <b/>
        <sz val="12"/>
        <rFont val="Arial"/>
        <family val="2"/>
      </rPr>
      <t>.:</t>
    </r>
  </si>
  <si>
    <r>
      <t xml:space="preserve"> ASANSÖR AVAN PROJESİ [AAP] [</t>
    </r>
    <r>
      <rPr>
        <b/>
        <sz val="8"/>
        <color indexed="60"/>
        <rFont val="Arial"/>
        <family val="2"/>
      </rPr>
      <t>ADET</t>
    </r>
    <r>
      <rPr>
        <b/>
        <sz val="10"/>
        <color indexed="60"/>
        <rFont val="Arial"/>
        <family val="2"/>
      </rPr>
      <t>]</t>
    </r>
    <r>
      <rPr>
        <b/>
        <sz val="6"/>
        <color indexed="60"/>
        <rFont val="Arial"/>
        <family val="2"/>
      </rPr>
      <t xml:space="preserve"> </t>
    </r>
    <r>
      <rPr>
        <b/>
        <sz val="10"/>
        <color indexed="60"/>
        <rFont val="Arial"/>
        <family val="2"/>
      </rPr>
      <t>…</t>
    </r>
    <r>
      <rPr>
        <b/>
        <sz val="12"/>
        <color indexed="60"/>
        <rFont val="Arial"/>
        <family val="2"/>
      </rPr>
      <t>.</t>
    </r>
    <r>
      <rPr>
        <b/>
        <sz val="13"/>
        <color indexed="60"/>
        <rFont val="Arial"/>
        <family val="2"/>
      </rPr>
      <t>.</t>
    </r>
    <r>
      <rPr>
        <b/>
        <sz val="10"/>
        <color indexed="60"/>
        <rFont val="Arial"/>
        <family val="2"/>
      </rPr>
      <t>:</t>
    </r>
  </si>
  <si>
    <r>
      <t>MESLEKİ DENETİM ÜCRETİ [</t>
    </r>
    <r>
      <rPr>
        <b/>
        <sz val="7"/>
        <rFont val="Arial"/>
        <family val="2"/>
      </rPr>
      <t>MDÜ</t>
    </r>
    <r>
      <rPr>
        <b/>
        <sz val="9"/>
        <rFont val="Arial"/>
        <family val="2"/>
      </rPr>
      <t>]</t>
    </r>
    <r>
      <rPr>
        <b/>
        <sz val="5"/>
        <rFont val="Arial"/>
        <family val="2"/>
      </rPr>
      <t xml:space="preserve"> </t>
    </r>
    <r>
      <rPr>
        <b/>
        <sz val="9"/>
        <rFont val="Arial"/>
        <family val="2"/>
      </rPr>
      <t>[</t>
    </r>
    <r>
      <rPr>
        <b/>
        <sz val="7"/>
        <rFont val="Arial"/>
        <family val="2"/>
      </rPr>
      <t>TOPLAM</t>
    </r>
    <r>
      <rPr>
        <b/>
        <sz val="9"/>
        <rFont val="Arial"/>
        <family val="2"/>
      </rPr>
      <t>]</t>
    </r>
    <r>
      <rPr>
        <b/>
        <sz val="6"/>
        <rFont val="Arial"/>
        <family val="2"/>
      </rPr>
      <t xml:space="preserve"> </t>
    </r>
    <r>
      <rPr>
        <b/>
        <sz val="12"/>
        <rFont val="Arial"/>
        <family val="2"/>
      </rPr>
      <t>...</t>
    </r>
    <r>
      <rPr>
        <b/>
        <sz val="10"/>
        <rFont val="Arial"/>
        <family val="2"/>
      </rPr>
      <t>:</t>
    </r>
  </si>
  <si>
    <r>
      <t>MESLEKİ DENETİM ÜCRETİ [</t>
    </r>
    <r>
      <rPr>
        <b/>
        <sz val="7"/>
        <color indexed="18"/>
        <rFont val="Arial"/>
        <family val="2"/>
      </rPr>
      <t>MDÜ</t>
    </r>
    <r>
      <rPr>
        <b/>
        <sz val="9"/>
        <color indexed="18"/>
        <rFont val="Arial"/>
        <family val="2"/>
      </rPr>
      <t>]</t>
    </r>
    <r>
      <rPr>
        <b/>
        <sz val="5"/>
        <color indexed="18"/>
        <rFont val="Arial"/>
        <family val="2"/>
      </rPr>
      <t xml:space="preserve"> </t>
    </r>
    <r>
      <rPr>
        <b/>
        <sz val="9"/>
        <color indexed="18"/>
        <rFont val="Arial"/>
        <family val="2"/>
      </rPr>
      <t>[</t>
    </r>
    <r>
      <rPr>
        <b/>
        <sz val="7"/>
        <color indexed="18"/>
        <rFont val="Arial"/>
        <family val="2"/>
      </rPr>
      <t>TUS</t>
    </r>
    <r>
      <rPr>
        <b/>
        <sz val="9"/>
        <color indexed="18"/>
        <rFont val="Arial"/>
        <family val="2"/>
      </rPr>
      <t>]</t>
    </r>
    <r>
      <rPr>
        <b/>
        <sz val="6"/>
        <color indexed="18"/>
        <rFont val="Arial"/>
        <family val="2"/>
      </rPr>
      <t xml:space="preserve"> </t>
    </r>
    <r>
      <rPr>
        <b/>
        <sz val="12"/>
        <color indexed="18"/>
        <rFont val="Arial"/>
        <family val="2"/>
      </rPr>
      <t>...</t>
    </r>
    <r>
      <rPr>
        <b/>
        <sz val="13"/>
        <color indexed="18"/>
        <rFont val="Arial"/>
        <family val="2"/>
      </rPr>
      <t>..</t>
    </r>
    <r>
      <rPr>
        <b/>
        <sz val="12"/>
        <color indexed="18"/>
        <rFont val="Arial"/>
        <family val="2"/>
      </rPr>
      <t>..</t>
    </r>
    <r>
      <rPr>
        <b/>
        <sz val="10"/>
        <color indexed="18"/>
        <rFont val="Arial"/>
        <family val="2"/>
      </rPr>
      <t>:</t>
    </r>
  </si>
  <si>
    <r>
      <t>MESLEKİ DENETİM ÜCRETİ [</t>
    </r>
    <r>
      <rPr>
        <b/>
        <sz val="7"/>
        <color indexed="18"/>
        <rFont val="Arial"/>
        <family val="2"/>
      </rPr>
      <t>MDÜ</t>
    </r>
    <r>
      <rPr>
        <b/>
        <sz val="9"/>
        <color indexed="18"/>
        <rFont val="Arial"/>
        <family val="2"/>
      </rPr>
      <t>]</t>
    </r>
    <r>
      <rPr>
        <b/>
        <sz val="5"/>
        <color indexed="18"/>
        <rFont val="Arial"/>
        <family val="2"/>
      </rPr>
      <t xml:space="preserve"> </t>
    </r>
    <r>
      <rPr>
        <b/>
        <sz val="9"/>
        <color indexed="18"/>
        <rFont val="Arial"/>
        <family val="2"/>
      </rPr>
      <t>[</t>
    </r>
    <r>
      <rPr>
        <b/>
        <sz val="7"/>
        <color indexed="18"/>
        <rFont val="Arial"/>
        <family val="2"/>
      </rPr>
      <t>PROJE</t>
    </r>
    <r>
      <rPr>
        <b/>
        <sz val="9"/>
        <color indexed="18"/>
        <rFont val="Arial"/>
        <family val="2"/>
      </rPr>
      <t>]</t>
    </r>
    <r>
      <rPr>
        <b/>
        <sz val="7"/>
        <color indexed="18"/>
        <rFont val="Arial"/>
        <family val="2"/>
      </rPr>
      <t xml:space="preserve"> </t>
    </r>
    <r>
      <rPr>
        <b/>
        <sz val="12"/>
        <color indexed="18"/>
        <rFont val="Arial"/>
        <family val="2"/>
      </rPr>
      <t>....</t>
    </r>
    <r>
      <rPr>
        <b/>
        <sz val="10"/>
        <color indexed="18"/>
        <rFont val="Arial"/>
        <family val="2"/>
      </rPr>
      <t>:</t>
    </r>
  </si>
  <si>
    <r>
      <t xml:space="preserve"> BENZERLİK DURUMU [BD] .</t>
    </r>
    <r>
      <rPr>
        <b/>
        <sz val="13"/>
        <color indexed="21"/>
        <rFont val="Arial"/>
        <family val="2"/>
      </rPr>
      <t>.</t>
    </r>
    <r>
      <rPr>
        <b/>
        <sz val="12"/>
        <color indexed="21"/>
        <rFont val="Arial"/>
        <family val="2"/>
      </rPr>
      <t>...........:</t>
    </r>
  </si>
  <si>
    <r>
      <t>TOPLAM BEDEL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>[</t>
    </r>
    <r>
      <rPr>
        <b/>
        <sz val="8"/>
        <rFont val="Arial"/>
        <family val="2"/>
      </rPr>
      <t>KDV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DAHİL</t>
    </r>
    <r>
      <rPr>
        <b/>
        <sz val="12"/>
        <rFont val="Arial"/>
        <family val="2"/>
      </rPr>
      <t>]</t>
    </r>
    <r>
      <rPr>
        <b/>
        <sz val="4"/>
        <rFont val="Arial"/>
        <family val="2"/>
      </rPr>
      <t xml:space="preserve"> </t>
    </r>
    <r>
      <rPr>
        <b/>
        <sz val="13"/>
        <rFont val="Arial"/>
        <family val="2"/>
      </rPr>
      <t>..</t>
    </r>
    <r>
      <rPr>
        <b/>
        <sz val="12"/>
        <rFont val="Arial"/>
        <family val="2"/>
      </rPr>
      <t>.</t>
    </r>
    <r>
      <rPr>
        <b/>
        <sz val="13"/>
        <rFont val="Arial"/>
        <family val="2"/>
      </rPr>
      <t>...</t>
    </r>
    <r>
      <rPr>
        <b/>
        <sz val="12"/>
        <rFont val="Arial"/>
        <family val="2"/>
      </rPr>
      <t>.:</t>
    </r>
  </si>
  <si>
    <r>
      <t xml:space="preserve">   KDV TOPLAMI</t>
    </r>
    <r>
      <rPr>
        <b/>
        <sz val="11"/>
        <color indexed="54"/>
        <rFont val="Arial"/>
        <family val="2"/>
      </rPr>
      <t xml:space="preserve">   </t>
    </r>
    <r>
      <rPr>
        <b/>
        <sz val="12"/>
        <color indexed="54"/>
        <rFont val="Arial"/>
        <family val="2"/>
      </rPr>
      <t>[</t>
    </r>
    <r>
      <rPr>
        <b/>
        <sz val="8"/>
        <color indexed="54"/>
        <rFont val="Arial"/>
        <family val="2"/>
      </rPr>
      <t>PROJE + TUS</t>
    </r>
    <r>
      <rPr>
        <b/>
        <sz val="12"/>
        <color indexed="54"/>
        <rFont val="Arial"/>
        <family val="2"/>
      </rPr>
      <t>]</t>
    </r>
    <r>
      <rPr>
        <b/>
        <sz val="6"/>
        <color indexed="54"/>
        <rFont val="Arial"/>
        <family val="2"/>
      </rPr>
      <t xml:space="preserve"> </t>
    </r>
    <r>
      <rPr>
        <b/>
        <sz val="12"/>
        <color indexed="54"/>
        <rFont val="Arial"/>
        <family val="2"/>
      </rPr>
      <t>.</t>
    </r>
    <r>
      <rPr>
        <b/>
        <sz val="13"/>
        <color indexed="54"/>
        <rFont val="Arial"/>
        <family val="2"/>
      </rPr>
      <t>...</t>
    </r>
    <r>
      <rPr>
        <b/>
        <sz val="12"/>
        <color indexed="54"/>
        <rFont val="Arial"/>
        <family val="2"/>
      </rPr>
      <t>.:</t>
    </r>
  </si>
  <si>
    <r>
      <t>TESİSAT</t>
    </r>
    <r>
      <rPr>
        <b/>
        <sz val="8"/>
        <color indexed="48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BEDELİ</t>
    </r>
    <r>
      <rPr>
        <b/>
        <sz val="8"/>
        <color indexed="48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[</t>
    </r>
    <r>
      <rPr>
        <b/>
        <sz val="8"/>
        <color indexed="48"/>
        <rFont val="Arial"/>
        <family val="2"/>
      </rPr>
      <t>PROJE + TUS</t>
    </r>
    <r>
      <rPr>
        <b/>
        <sz val="12"/>
        <color indexed="48"/>
        <rFont val="Arial"/>
        <family val="2"/>
      </rPr>
      <t>]</t>
    </r>
    <r>
      <rPr>
        <b/>
        <sz val="6"/>
        <color indexed="48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.</t>
    </r>
    <r>
      <rPr>
        <b/>
        <sz val="13"/>
        <color indexed="48"/>
        <rFont val="Arial"/>
        <family val="2"/>
      </rPr>
      <t>...</t>
    </r>
    <r>
      <rPr>
        <b/>
        <sz val="12"/>
        <color indexed="48"/>
        <rFont val="Arial"/>
        <family val="2"/>
      </rPr>
      <t>.:</t>
    </r>
  </si>
  <si>
    <r>
      <t>TOPLAM BEDEL  [</t>
    </r>
    <r>
      <rPr>
        <b/>
        <sz val="8"/>
        <rFont val="Arial"/>
        <family val="2"/>
      </rPr>
      <t>KDV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DAHİL</t>
    </r>
    <r>
      <rPr>
        <b/>
        <sz val="12"/>
        <rFont val="Arial"/>
        <family val="2"/>
      </rPr>
      <t>]</t>
    </r>
    <r>
      <rPr>
        <b/>
        <sz val="6"/>
        <rFont val="Arial"/>
        <family val="2"/>
      </rPr>
      <t xml:space="preserve"> </t>
    </r>
    <r>
      <rPr>
        <b/>
        <sz val="12"/>
        <rFont val="Arial"/>
        <family val="2"/>
      </rPr>
      <t>...</t>
    </r>
    <r>
      <rPr>
        <b/>
        <sz val="13"/>
        <rFont val="Arial"/>
        <family val="2"/>
      </rPr>
      <t>...</t>
    </r>
    <r>
      <rPr>
        <b/>
        <sz val="12"/>
        <rFont val="Arial"/>
        <family val="2"/>
      </rPr>
      <t>.:</t>
    </r>
  </si>
  <si>
    <r>
      <t xml:space="preserve">   TUS KDV TUTARI</t>
    </r>
    <r>
      <rPr>
        <b/>
        <sz val="6"/>
        <color indexed="54"/>
        <rFont val="Arial"/>
        <family val="2"/>
      </rPr>
      <t xml:space="preserve"> </t>
    </r>
    <r>
      <rPr>
        <b/>
        <sz val="12"/>
        <color indexed="54"/>
        <rFont val="Arial"/>
        <family val="2"/>
      </rPr>
      <t>.................</t>
    </r>
    <r>
      <rPr>
        <b/>
        <sz val="13"/>
        <color indexed="54"/>
        <rFont val="Arial"/>
        <family val="2"/>
      </rPr>
      <t>...</t>
    </r>
    <r>
      <rPr>
        <b/>
        <sz val="12"/>
        <color indexed="54"/>
        <rFont val="Arial"/>
        <family val="2"/>
      </rPr>
      <t>.:</t>
    </r>
  </si>
  <si>
    <r>
      <t>TUS</t>
    </r>
    <r>
      <rPr>
        <b/>
        <sz val="13"/>
        <color indexed="48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BEDELİ [</t>
    </r>
    <r>
      <rPr>
        <b/>
        <sz val="8"/>
        <color indexed="48"/>
        <rFont val="Arial"/>
        <family val="2"/>
      </rPr>
      <t>TB</t>
    </r>
    <r>
      <rPr>
        <b/>
        <sz val="12"/>
        <color indexed="48"/>
        <rFont val="Arial"/>
        <family val="2"/>
      </rPr>
      <t>]</t>
    </r>
    <r>
      <rPr>
        <b/>
        <sz val="9"/>
        <color indexed="48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......................</t>
    </r>
    <r>
      <rPr>
        <b/>
        <sz val="13"/>
        <color indexed="48"/>
        <rFont val="Arial"/>
        <family val="2"/>
      </rPr>
      <t>...</t>
    </r>
    <r>
      <rPr>
        <b/>
        <sz val="12"/>
        <color indexed="48"/>
        <rFont val="Arial"/>
        <family val="2"/>
      </rPr>
      <t>.:</t>
    </r>
  </si>
  <si>
    <r>
      <t xml:space="preserve">   PROJE</t>
    </r>
    <r>
      <rPr>
        <b/>
        <sz val="13"/>
        <color indexed="54"/>
        <rFont val="Arial"/>
        <family val="2"/>
      </rPr>
      <t xml:space="preserve"> </t>
    </r>
    <r>
      <rPr>
        <b/>
        <sz val="12"/>
        <color indexed="54"/>
        <rFont val="Arial"/>
        <family val="2"/>
      </rPr>
      <t>KDV</t>
    </r>
    <r>
      <rPr>
        <b/>
        <sz val="13"/>
        <color indexed="54"/>
        <rFont val="Arial"/>
        <family val="2"/>
      </rPr>
      <t xml:space="preserve"> </t>
    </r>
    <r>
      <rPr>
        <b/>
        <sz val="12"/>
        <color indexed="54"/>
        <rFont val="Arial"/>
        <family val="2"/>
      </rPr>
      <t>TUTARI</t>
    </r>
    <r>
      <rPr>
        <b/>
        <sz val="6"/>
        <color indexed="54"/>
        <rFont val="Arial"/>
        <family val="2"/>
      </rPr>
      <t xml:space="preserve"> </t>
    </r>
    <r>
      <rPr>
        <b/>
        <sz val="12"/>
        <color indexed="54"/>
        <rFont val="Arial"/>
        <family val="2"/>
      </rPr>
      <t>...........</t>
    </r>
    <r>
      <rPr>
        <b/>
        <sz val="13"/>
        <color indexed="54"/>
        <rFont val="Arial"/>
        <family val="2"/>
      </rPr>
      <t>...</t>
    </r>
    <r>
      <rPr>
        <b/>
        <sz val="12"/>
        <color indexed="54"/>
        <rFont val="Arial"/>
        <family val="2"/>
      </rPr>
      <t>.:</t>
    </r>
  </si>
  <si>
    <r>
      <t>PROJE BEDELİ</t>
    </r>
    <r>
      <rPr>
        <b/>
        <sz val="12"/>
        <color indexed="48"/>
        <rFont val="Arial"/>
        <family val="2"/>
      </rPr>
      <t xml:space="preserve"> [</t>
    </r>
    <r>
      <rPr>
        <b/>
        <sz val="8"/>
        <color indexed="48"/>
        <rFont val="Arial"/>
        <family val="2"/>
      </rPr>
      <t>PB</t>
    </r>
    <r>
      <rPr>
        <b/>
        <sz val="12"/>
        <color indexed="48"/>
        <rFont val="Arial"/>
        <family val="2"/>
      </rPr>
      <t>]</t>
    </r>
    <r>
      <rPr>
        <b/>
        <sz val="6"/>
        <color indexed="48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.................</t>
    </r>
    <r>
      <rPr>
        <b/>
        <sz val="13"/>
        <color indexed="48"/>
        <rFont val="Arial"/>
        <family val="2"/>
      </rPr>
      <t>...</t>
    </r>
    <r>
      <rPr>
        <b/>
        <sz val="12"/>
        <color indexed="48"/>
        <rFont val="Arial"/>
        <family val="2"/>
      </rPr>
      <t>.:</t>
    </r>
  </si>
  <si>
    <t>J23 Hücresi VERİ DOĞRULAMA Formülü</t>
  </si>
  <si>
    <r>
      <t>ASGARİ</t>
    </r>
    <r>
      <rPr>
        <b/>
        <sz val="8"/>
        <color indexed="9"/>
        <rFont val="Arial"/>
        <family val="2"/>
      </rPr>
      <t xml:space="preserve"> </t>
    </r>
    <r>
      <rPr>
        <b/>
        <sz val="12"/>
        <color indexed="9"/>
        <rFont val="Arial"/>
        <family val="2"/>
      </rPr>
      <t>ÜCRETLERİ</t>
    </r>
    <r>
      <rPr>
        <b/>
        <sz val="8"/>
        <color indexed="9"/>
        <rFont val="Arial"/>
        <family val="2"/>
      </rPr>
      <t xml:space="preserve"> </t>
    </r>
    <r>
      <rPr>
        <b/>
        <sz val="12"/>
        <color indexed="9"/>
        <rFont val="Arial"/>
        <family val="2"/>
      </rPr>
      <t>ve</t>
    </r>
    <r>
      <rPr>
        <b/>
        <sz val="8"/>
        <color indexed="9"/>
        <rFont val="Arial"/>
        <family val="2"/>
      </rPr>
      <t xml:space="preserve"> </t>
    </r>
    <r>
      <rPr>
        <b/>
        <sz val="12"/>
        <color indexed="9"/>
        <rFont val="Arial"/>
        <family val="2"/>
      </rPr>
      <t>MESLEKİ</t>
    </r>
    <r>
      <rPr>
        <b/>
        <sz val="8"/>
        <color indexed="9"/>
        <rFont val="Arial"/>
        <family val="2"/>
      </rPr>
      <t xml:space="preserve"> </t>
    </r>
    <r>
      <rPr>
        <b/>
        <sz val="12"/>
        <color indexed="9"/>
        <rFont val="Arial"/>
        <family val="2"/>
      </rPr>
      <t>DENETİM</t>
    </r>
    <r>
      <rPr>
        <b/>
        <sz val="8"/>
        <color indexed="9"/>
        <rFont val="Arial"/>
        <family val="2"/>
      </rPr>
      <t xml:space="preserve"> </t>
    </r>
    <r>
      <rPr>
        <b/>
        <sz val="12"/>
        <color indexed="9"/>
        <rFont val="Arial"/>
        <family val="2"/>
      </rPr>
      <t>ÜCRETLERİ</t>
    </r>
  </si>
  <si>
    <r>
      <t>M E K A N İ K</t>
    </r>
    <r>
      <rPr>
        <b/>
        <sz val="9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 xml:space="preserve">  </t>
    </r>
    <r>
      <rPr>
        <b/>
        <sz val="12"/>
        <color indexed="9"/>
        <rFont val="Arial"/>
        <family val="2"/>
      </rPr>
      <t>T E S İ S A T</t>
    </r>
    <r>
      <rPr>
        <b/>
        <sz val="10"/>
        <color indexed="9"/>
        <rFont val="Arial"/>
        <family val="2"/>
      </rPr>
      <t xml:space="preserve">  </t>
    </r>
    <r>
      <rPr>
        <b/>
        <sz val="9"/>
        <color indexed="9"/>
        <rFont val="Arial"/>
        <family val="2"/>
      </rPr>
      <t xml:space="preserve"> </t>
    </r>
    <r>
      <rPr>
        <b/>
        <sz val="12"/>
        <color indexed="9"/>
        <rFont val="Arial"/>
        <family val="2"/>
      </rPr>
      <t>P R O J E</t>
    </r>
    <r>
      <rPr>
        <b/>
        <sz val="10"/>
        <color indexed="9"/>
        <rFont val="Arial"/>
        <family val="2"/>
      </rPr>
      <t xml:space="preserve">  </t>
    </r>
    <r>
      <rPr>
        <b/>
        <sz val="9"/>
        <color indexed="9"/>
        <rFont val="Arial"/>
        <family val="2"/>
      </rPr>
      <t xml:space="preserve"> </t>
    </r>
    <r>
      <rPr>
        <b/>
        <sz val="12"/>
        <color indexed="9"/>
        <rFont val="Arial"/>
        <family val="2"/>
      </rPr>
      <t>H İ Z M E T L E R İ</t>
    </r>
  </si>
  <si>
    <t>(01/07/2007 - 31/12/2007)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</si>
</sst>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0;[Red]#,##0.000"/>
    <numFmt numFmtId="173" formatCode="#,##0;[Red]#,##0"/>
    <numFmt numFmtId="174" formatCode="yyyy"/>
    <numFmt numFmtId="175" formatCode="#,##0.00;[Red]#,##0.00"/>
    <numFmt numFmtId="176" formatCode="#,##0\ &quot;TL&quot;"/>
    <numFmt numFmtId="177" formatCode="#,##0\ _T_L;[Red]#,##0\ _T_L"/>
  </numFmts>
  <fonts count="10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8"/>
      <color indexed="16"/>
      <name val="Arial"/>
      <family val="2"/>
    </font>
    <font>
      <b/>
      <sz val="12"/>
      <color indexed="9"/>
      <name val="Arial"/>
      <family val="2"/>
    </font>
    <font>
      <vertAlign val="superscript"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sz val="8"/>
      <name val="Tahoma"/>
      <family val="0"/>
    </font>
    <font>
      <b/>
      <u val="single"/>
      <sz val="8"/>
      <name val="Tahoma"/>
      <family val="2"/>
    </font>
    <font>
      <b/>
      <sz val="7"/>
      <name val="Tahoma"/>
      <family val="2"/>
    </font>
    <font>
      <b/>
      <sz val="7"/>
      <color indexed="12"/>
      <name val="Tahoma"/>
      <family val="2"/>
    </font>
    <font>
      <sz val="8"/>
      <color indexed="53"/>
      <name val="Arial"/>
      <family val="0"/>
    </font>
    <font>
      <b/>
      <sz val="7"/>
      <color indexed="17"/>
      <name val="Arial"/>
      <family val="2"/>
    </font>
    <font>
      <b/>
      <sz val="6"/>
      <color indexed="17"/>
      <name val="Arial"/>
      <family val="2"/>
    </font>
    <font>
      <sz val="6"/>
      <color indexed="12"/>
      <name val="Arial"/>
      <family val="2"/>
    </font>
    <font>
      <sz val="6"/>
      <color indexed="16"/>
      <name val="Arial"/>
      <family val="2"/>
    </font>
    <font>
      <sz val="8"/>
      <color indexed="23"/>
      <name val="Arial"/>
      <family val="2"/>
    </font>
    <font>
      <b/>
      <sz val="8"/>
      <name val="Tahoma"/>
      <family val="0"/>
    </font>
    <font>
      <b/>
      <sz val="8"/>
      <color indexed="12"/>
      <name val="Tahoma"/>
      <family val="2"/>
    </font>
    <font>
      <sz val="6"/>
      <name val="Arial Narrow"/>
      <family val="2"/>
    </font>
    <font>
      <b/>
      <sz val="6"/>
      <name val="Arial Narrow"/>
      <family val="2"/>
    </font>
    <font>
      <sz val="7"/>
      <name val="Arial Narrow"/>
      <family val="2"/>
    </font>
    <font>
      <sz val="5"/>
      <name val="Arial Narrow"/>
      <family val="2"/>
    </font>
    <font>
      <sz val="4"/>
      <name val="Arial Narrow"/>
      <family val="2"/>
    </font>
    <font>
      <sz val="8"/>
      <color indexed="17"/>
      <name val="Arial"/>
      <family val="2"/>
    </font>
    <font>
      <b/>
      <sz val="7"/>
      <color indexed="12"/>
      <name val="Arial"/>
      <family val="2"/>
    </font>
    <font>
      <b/>
      <sz val="7"/>
      <color indexed="16"/>
      <name val="Arial"/>
      <family val="2"/>
    </font>
    <font>
      <b/>
      <sz val="5"/>
      <color indexed="14"/>
      <name val="Arial"/>
      <family val="2"/>
    </font>
    <font>
      <b/>
      <sz val="7"/>
      <color indexed="14"/>
      <name val="Arial"/>
      <family val="2"/>
    </font>
    <font>
      <sz val="8"/>
      <color indexed="14"/>
      <name val="Arial"/>
      <family val="2"/>
    </font>
    <font>
      <sz val="6"/>
      <color indexed="14"/>
      <name val="Arial"/>
      <family val="2"/>
    </font>
    <font>
      <sz val="6"/>
      <color indexed="17"/>
      <name val="Arial"/>
      <family val="2"/>
    </font>
    <font>
      <b/>
      <sz val="6"/>
      <color indexed="53"/>
      <name val="Arial"/>
      <family val="2"/>
    </font>
    <font>
      <b/>
      <vertAlign val="superscript"/>
      <sz val="8"/>
      <color indexed="53"/>
      <name val="Arial"/>
      <family val="2"/>
    </font>
    <font>
      <b/>
      <sz val="6"/>
      <color indexed="23"/>
      <name val="Arial"/>
      <family val="2"/>
    </font>
    <font>
      <b/>
      <vertAlign val="superscript"/>
      <sz val="8"/>
      <color indexed="23"/>
      <name val="Arial"/>
      <family val="2"/>
    </font>
    <font>
      <sz val="5"/>
      <name val="Arial"/>
      <family val="2"/>
    </font>
    <font>
      <b/>
      <vertAlign val="superscript"/>
      <sz val="7"/>
      <name val="Arial"/>
      <family val="2"/>
    </font>
    <font>
      <b/>
      <sz val="9"/>
      <color indexed="12"/>
      <name val="Arial"/>
      <family val="2"/>
    </font>
    <font>
      <sz val="8"/>
      <color indexed="10"/>
      <name val="Arial"/>
      <family val="2"/>
    </font>
    <font>
      <vertAlign val="superscript"/>
      <sz val="6"/>
      <name val="Arial Narrow"/>
      <family val="2"/>
    </font>
    <font>
      <b/>
      <vertAlign val="superscript"/>
      <sz val="6"/>
      <name val="Arial Narrow"/>
      <family val="2"/>
    </font>
    <font>
      <b/>
      <sz val="8"/>
      <color indexed="12"/>
      <name val="Arial Narrow"/>
      <family val="2"/>
    </font>
    <font>
      <b/>
      <sz val="9"/>
      <color indexed="9"/>
      <name val="Arial"/>
      <family val="2"/>
    </font>
    <font>
      <b/>
      <sz val="8"/>
      <color indexed="23"/>
      <name val="Arial"/>
      <family val="2"/>
    </font>
    <font>
      <b/>
      <sz val="11"/>
      <color indexed="9"/>
      <name val="Arial"/>
      <family val="2"/>
    </font>
    <font>
      <sz val="7"/>
      <color indexed="21"/>
      <name val="Arial"/>
      <family val="2"/>
    </font>
    <font>
      <sz val="7"/>
      <color indexed="53"/>
      <name val="Arial"/>
      <family val="2"/>
    </font>
    <font>
      <b/>
      <sz val="12"/>
      <color indexed="48"/>
      <name val="Arial"/>
      <family val="2"/>
    </font>
    <font>
      <b/>
      <sz val="8"/>
      <color indexed="48"/>
      <name val="Arial"/>
      <family val="2"/>
    </font>
    <font>
      <b/>
      <sz val="11"/>
      <color indexed="48"/>
      <name val="Arial"/>
      <family val="2"/>
    </font>
    <font>
      <b/>
      <sz val="7"/>
      <color indexed="40"/>
      <name val="Arial"/>
      <family val="2"/>
    </font>
    <font>
      <b/>
      <sz val="13"/>
      <color indexed="48"/>
      <name val="Arial"/>
      <family val="2"/>
    </font>
    <font>
      <b/>
      <sz val="11"/>
      <color indexed="60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sz val="11"/>
      <color indexed="21"/>
      <name val="Arial"/>
      <family val="2"/>
    </font>
    <font>
      <b/>
      <sz val="12"/>
      <color indexed="21"/>
      <name val="Arial"/>
      <family val="2"/>
    </font>
    <font>
      <b/>
      <sz val="13"/>
      <color indexed="54"/>
      <name val="Arial"/>
      <family val="2"/>
    </font>
    <font>
      <b/>
      <sz val="12"/>
      <color indexed="54"/>
      <name val="Arial"/>
      <family val="2"/>
    </font>
    <font>
      <b/>
      <sz val="8"/>
      <color indexed="54"/>
      <name val="Arial"/>
      <family val="2"/>
    </font>
    <font>
      <b/>
      <sz val="11"/>
      <color indexed="54"/>
      <name val="Arial"/>
      <family val="2"/>
    </font>
    <font>
      <b/>
      <sz val="7"/>
      <color indexed="56"/>
      <name val="Arial"/>
      <family val="2"/>
    </font>
    <font>
      <b/>
      <sz val="7"/>
      <color indexed="54"/>
      <name val="Arial"/>
      <family val="2"/>
    </font>
    <font>
      <sz val="7"/>
      <color indexed="22"/>
      <name val="Arial"/>
      <family val="2"/>
    </font>
    <font>
      <sz val="8"/>
      <color indexed="22"/>
      <name val="Arial"/>
      <family val="2"/>
    </font>
    <font>
      <b/>
      <sz val="8"/>
      <color indexed="60"/>
      <name val="Arial"/>
      <family val="2"/>
    </font>
    <font>
      <b/>
      <vertAlign val="superscript"/>
      <sz val="10"/>
      <name val="Arial"/>
      <family val="2"/>
    </font>
    <font>
      <b/>
      <sz val="13"/>
      <name val="Arial"/>
      <family val="2"/>
    </font>
    <font>
      <b/>
      <sz val="10"/>
      <color indexed="60"/>
      <name val="Arial"/>
      <family val="2"/>
    </font>
    <font>
      <b/>
      <sz val="10"/>
      <color indexed="18"/>
      <name val="Arial"/>
      <family val="2"/>
    </font>
    <font>
      <b/>
      <sz val="12"/>
      <color indexed="60"/>
      <name val="Arial"/>
      <family val="2"/>
    </font>
    <font>
      <b/>
      <sz val="13"/>
      <color indexed="60"/>
      <name val="Arial"/>
      <family val="2"/>
    </font>
    <font>
      <b/>
      <sz val="9"/>
      <color indexed="10"/>
      <name val="Arial"/>
      <family val="2"/>
    </font>
    <font>
      <b/>
      <sz val="7"/>
      <color indexed="62"/>
      <name val="Arial"/>
      <family val="2"/>
    </font>
    <font>
      <b/>
      <sz val="9"/>
      <color indexed="18"/>
      <name val="Arial"/>
      <family val="2"/>
    </font>
    <font>
      <b/>
      <sz val="7"/>
      <color indexed="18"/>
      <name val="Arial"/>
      <family val="2"/>
    </font>
    <font>
      <b/>
      <sz val="5"/>
      <color indexed="18"/>
      <name val="Arial"/>
      <family val="2"/>
    </font>
    <font>
      <b/>
      <sz val="6"/>
      <color indexed="18"/>
      <name val="Arial"/>
      <family val="2"/>
    </font>
    <font>
      <b/>
      <sz val="13"/>
      <color indexed="18"/>
      <name val="Arial"/>
      <family val="2"/>
    </font>
    <font>
      <b/>
      <sz val="12"/>
      <color indexed="18"/>
      <name val="Arial"/>
      <family val="2"/>
    </font>
    <font>
      <b/>
      <sz val="6"/>
      <color indexed="60"/>
      <name val="Arial"/>
      <family val="2"/>
    </font>
    <font>
      <sz val="7"/>
      <color indexed="61"/>
      <name val="Arial"/>
      <family val="2"/>
    </font>
    <font>
      <b/>
      <sz val="13"/>
      <color indexed="21"/>
      <name val="Arial"/>
      <family val="2"/>
    </font>
    <font>
      <b/>
      <sz val="4"/>
      <name val="Arial"/>
      <family val="2"/>
    </font>
    <font>
      <b/>
      <sz val="6"/>
      <color indexed="54"/>
      <name val="Arial"/>
      <family val="2"/>
    </font>
    <font>
      <b/>
      <sz val="6"/>
      <color indexed="48"/>
      <name val="Arial"/>
      <family val="2"/>
    </font>
    <font>
      <b/>
      <sz val="9"/>
      <color indexed="4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vertical="center"/>
      <protection hidden="1"/>
    </xf>
    <xf numFmtId="0" fontId="0" fillId="3" borderId="2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2" xfId="0" applyFont="1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horizontal="center" vertical="center"/>
      <protection hidden="1"/>
    </xf>
    <xf numFmtId="173" fontId="2" fillId="5" borderId="7" xfId="0" applyNumberFormat="1" applyFont="1" applyFill="1" applyBorder="1" applyAlignment="1" applyProtection="1">
      <alignment vertical="center"/>
      <protection hidden="1"/>
    </xf>
    <xf numFmtId="173" fontId="2" fillId="5" borderId="8" xfId="0" applyNumberFormat="1" applyFont="1" applyFill="1" applyBorder="1" applyAlignment="1" applyProtection="1">
      <alignment vertical="center"/>
      <protection hidden="1"/>
    </xf>
    <xf numFmtId="173" fontId="2" fillId="5" borderId="9" xfId="0" applyNumberFormat="1" applyFont="1" applyFill="1" applyBorder="1" applyAlignment="1" applyProtection="1">
      <alignment vertical="center"/>
      <protection hidden="1"/>
    </xf>
    <xf numFmtId="173" fontId="2" fillId="5" borderId="10" xfId="0" applyNumberFormat="1" applyFont="1" applyFill="1" applyBorder="1" applyAlignment="1" applyProtection="1">
      <alignment vertical="center"/>
      <protection hidden="1"/>
    </xf>
    <xf numFmtId="0" fontId="0" fillId="2" borderId="0" xfId="0" applyFont="1" applyFill="1" applyAlignment="1" applyProtection="1">
      <alignment horizontal="right" vertical="center"/>
      <protection hidden="1"/>
    </xf>
    <xf numFmtId="173" fontId="6" fillId="5" borderId="9" xfId="0" applyNumberFormat="1" applyFont="1" applyFill="1" applyBorder="1" applyAlignment="1" applyProtection="1">
      <alignment vertical="center"/>
      <protection hidden="1"/>
    </xf>
    <xf numFmtId="173" fontId="6" fillId="5" borderId="10" xfId="0" applyNumberFormat="1" applyFont="1" applyFill="1" applyBorder="1" applyAlignment="1" applyProtection="1">
      <alignment vertical="center"/>
      <protection hidden="1"/>
    </xf>
    <xf numFmtId="173" fontId="6" fillId="5" borderId="5" xfId="0" applyNumberFormat="1" applyFont="1" applyFill="1" applyBorder="1" applyAlignment="1" applyProtection="1">
      <alignment vertical="center"/>
      <protection hidden="1"/>
    </xf>
    <xf numFmtId="173" fontId="6" fillId="5" borderId="6" xfId="0" applyNumberFormat="1" applyFont="1" applyFill="1" applyBorder="1" applyAlignment="1" applyProtection="1">
      <alignment vertical="center"/>
      <protection hidden="1"/>
    </xf>
    <xf numFmtId="173" fontId="3" fillId="5" borderId="11" xfId="0" applyNumberFormat="1" applyFont="1" applyFill="1" applyBorder="1" applyAlignment="1" applyProtection="1">
      <alignment horizontal="center" vertical="center"/>
      <protection hidden="1"/>
    </xf>
    <xf numFmtId="173" fontId="5" fillId="5" borderId="12" xfId="0" applyNumberFormat="1" applyFont="1" applyFill="1" applyBorder="1" applyAlignment="1" applyProtection="1">
      <alignment horizontal="center" vertical="center"/>
      <protection hidden="1"/>
    </xf>
    <xf numFmtId="173" fontId="3" fillId="5" borderId="12" xfId="0" applyNumberFormat="1" applyFont="1" applyFill="1" applyBorder="1" applyAlignment="1" applyProtection="1">
      <alignment horizontal="center" vertical="center"/>
      <protection hidden="1"/>
    </xf>
    <xf numFmtId="173" fontId="5" fillId="5" borderId="13" xfId="0" applyNumberFormat="1" applyFont="1" applyFill="1" applyBorder="1" applyAlignment="1" applyProtection="1">
      <alignment horizontal="center" vertical="center"/>
      <protection hidden="1"/>
    </xf>
    <xf numFmtId="173" fontId="2" fillId="5" borderId="14" xfId="0" applyNumberFormat="1" applyFont="1" applyFill="1" applyBorder="1" applyAlignment="1" applyProtection="1">
      <alignment vertical="center"/>
      <protection hidden="1"/>
    </xf>
    <xf numFmtId="173" fontId="6" fillId="5" borderId="15" xfId="0" applyNumberFormat="1" applyFont="1" applyFill="1" applyBorder="1" applyAlignment="1" applyProtection="1">
      <alignment vertical="center"/>
      <protection hidden="1"/>
    </xf>
    <xf numFmtId="173" fontId="2" fillId="5" borderId="15" xfId="0" applyNumberFormat="1" applyFont="1" applyFill="1" applyBorder="1" applyAlignment="1" applyProtection="1">
      <alignment vertical="center"/>
      <protection hidden="1"/>
    </xf>
    <xf numFmtId="173" fontId="6" fillId="5" borderId="16" xfId="0" applyNumberFormat="1" applyFont="1" applyFill="1" applyBorder="1" applyAlignment="1" applyProtection="1">
      <alignment vertical="center"/>
      <protection hidden="1"/>
    </xf>
    <xf numFmtId="0" fontId="0" fillId="6" borderId="0" xfId="0" applyFont="1" applyFill="1" applyBorder="1" applyAlignment="1" applyProtection="1">
      <alignment/>
      <protection hidden="1"/>
    </xf>
    <xf numFmtId="0" fontId="0" fillId="6" borderId="17" xfId="0" applyFont="1" applyFill="1" applyBorder="1" applyAlignment="1" applyProtection="1">
      <alignment/>
      <protection hidden="1"/>
    </xf>
    <xf numFmtId="0" fontId="0" fillId="6" borderId="18" xfId="0" applyFont="1" applyFill="1" applyBorder="1" applyAlignment="1" applyProtection="1">
      <alignment/>
      <protection hidden="1"/>
    </xf>
    <xf numFmtId="0" fontId="0" fillId="6" borderId="19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7" borderId="20" xfId="0" applyFont="1" applyFill="1" applyBorder="1" applyAlignment="1" applyProtection="1">
      <alignment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2" fillId="4" borderId="22" xfId="0" applyFont="1" applyFill="1" applyBorder="1" applyAlignment="1" applyProtection="1">
      <alignment horizontal="center" vertical="center"/>
      <protection hidden="1"/>
    </xf>
    <xf numFmtId="0" fontId="2" fillId="4" borderId="23" xfId="0" applyFont="1" applyFill="1" applyBorder="1" applyAlignment="1" applyProtection="1">
      <alignment horizontal="center" vertical="center"/>
      <protection hidden="1"/>
    </xf>
    <xf numFmtId="0" fontId="2" fillId="4" borderId="24" xfId="0" applyFont="1" applyFill="1" applyBorder="1" applyAlignment="1" applyProtection="1">
      <alignment horizontal="center" vertical="center"/>
      <protection hidden="1"/>
    </xf>
    <xf numFmtId="0" fontId="0" fillId="3" borderId="25" xfId="0" applyFont="1" applyFill="1" applyBorder="1" applyAlignment="1" applyProtection="1">
      <alignment/>
      <protection hidden="1"/>
    </xf>
    <xf numFmtId="0" fontId="0" fillId="3" borderId="25" xfId="0" applyFill="1" applyBorder="1" applyAlignment="1" applyProtection="1">
      <alignment/>
      <protection hidden="1"/>
    </xf>
    <xf numFmtId="0" fontId="0" fillId="3" borderId="25" xfId="0" applyFont="1" applyFill="1" applyBorder="1" applyAlignment="1" applyProtection="1">
      <alignment horizontal="center"/>
      <protection hidden="1"/>
    </xf>
    <xf numFmtId="0" fontId="0" fillId="3" borderId="26" xfId="0" applyFill="1" applyBorder="1" applyAlignment="1" applyProtection="1">
      <alignment/>
      <protection hidden="1"/>
    </xf>
    <xf numFmtId="0" fontId="4" fillId="3" borderId="27" xfId="0" applyFont="1" applyFill="1" applyBorder="1" applyAlignment="1" applyProtection="1">
      <alignment vertical="center"/>
      <protection hidden="1"/>
    </xf>
    <xf numFmtId="0" fontId="3" fillId="4" borderId="7" xfId="0" applyFont="1" applyFill="1" applyBorder="1" applyAlignment="1" applyProtection="1">
      <alignment horizontal="center" vertical="center"/>
      <protection hidden="1"/>
    </xf>
    <xf numFmtId="0" fontId="3" fillId="4" borderId="8" xfId="0" applyFont="1" applyFill="1" applyBorder="1" applyAlignment="1" applyProtection="1">
      <alignment horizontal="center" vertical="center"/>
      <protection hidden="1"/>
    </xf>
    <xf numFmtId="0" fontId="3" fillId="4" borderId="28" xfId="0" applyFont="1" applyFill="1" applyBorder="1" applyAlignment="1" applyProtection="1">
      <alignment horizontal="center" vertical="center"/>
      <protection hidden="1"/>
    </xf>
    <xf numFmtId="0" fontId="0" fillId="2" borderId="0" xfId="0" applyNumberFormat="1" applyFont="1" applyFill="1" applyAlignment="1" applyProtection="1">
      <alignment/>
      <protection hidden="1"/>
    </xf>
    <xf numFmtId="0" fontId="0" fillId="2" borderId="0" xfId="0" applyNumberFormat="1" applyFont="1" applyFill="1" applyBorder="1" applyAlignment="1" applyProtection="1">
      <alignment/>
      <protection hidden="1"/>
    </xf>
    <xf numFmtId="0" fontId="3" fillId="4" borderId="29" xfId="0" applyFont="1" applyFill="1" applyBorder="1" applyAlignment="1" applyProtection="1">
      <alignment horizontal="center" vertical="center"/>
      <protection hidden="1"/>
    </xf>
    <xf numFmtId="0" fontId="0" fillId="8" borderId="0" xfId="0" applyFill="1" applyBorder="1" applyAlignment="1" applyProtection="1">
      <alignment/>
      <protection hidden="1"/>
    </xf>
    <xf numFmtId="0" fontId="0" fillId="6" borderId="27" xfId="0" applyFill="1" applyBorder="1" applyAlignment="1" applyProtection="1">
      <alignment/>
      <protection hidden="1"/>
    </xf>
    <xf numFmtId="0" fontId="0" fillId="6" borderId="25" xfId="0" applyFill="1" applyBorder="1" applyAlignment="1" applyProtection="1">
      <alignment/>
      <protection hidden="1"/>
    </xf>
    <xf numFmtId="0" fontId="0" fillId="6" borderId="26" xfId="0" applyFill="1" applyBorder="1" applyAlignment="1" applyProtection="1">
      <alignment/>
      <protection hidden="1"/>
    </xf>
    <xf numFmtId="0" fontId="0" fillId="6" borderId="20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30" xfId="0" applyFill="1" applyBorder="1" applyAlignment="1" applyProtection="1">
      <alignment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0" fillId="7" borderId="27" xfId="0" applyFont="1" applyFill="1" applyBorder="1" applyAlignment="1" applyProtection="1">
      <alignment/>
      <protection hidden="1"/>
    </xf>
    <xf numFmtId="0" fontId="0" fillId="7" borderId="25" xfId="0" applyFont="1" applyFill="1" applyBorder="1" applyAlignment="1" applyProtection="1">
      <alignment/>
      <protection hidden="1"/>
    </xf>
    <xf numFmtId="0" fontId="0" fillId="7" borderId="26" xfId="0" applyFont="1" applyFill="1" applyBorder="1" applyAlignment="1" applyProtection="1">
      <alignment/>
      <protection hidden="1"/>
    </xf>
    <xf numFmtId="0" fontId="0" fillId="5" borderId="27" xfId="0" applyFont="1" applyFill="1" applyBorder="1" applyAlignment="1" applyProtection="1">
      <alignment/>
      <protection hidden="1"/>
    </xf>
    <xf numFmtId="0" fontId="0" fillId="5" borderId="25" xfId="0" applyFont="1" applyFill="1" applyBorder="1" applyAlignment="1" applyProtection="1">
      <alignment/>
      <protection hidden="1"/>
    </xf>
    <xf numFmtId="0" fontId="0" fillId="5" borderId="26" xfId="0" applyFont="1" applyFill="1" applyBorder="1" applyAlignment="1" applyProtection="1">
      <alignment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8" fillId="7" borderId="0" xfId="0" applyFont="1" applyFill="1" applyBorder="1" applyAlignment="1" applyProtection="1">
      <alignment horizontal="center" vertical="center"/>
      <protection hidden="1"/>
    </xf>
    <xf numFmtId="0" fontId="0" fillId="7" borderId="30" xfId="0" applyFont="1" applyFill="1" applyBorder="1" applyAlignment="1" applyProtection="1">
      <alignment/>
      <protection hidden="1"/>
    </xf>
    <xf numFmtId="0" fontId="0" fillId="5" borderId="20" xfId="0" applyFont="1" applyFill="1" applyBorder="1" applyAlignment="1" applyProtection="1">
      <alignment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1" fillId="5" borderId="0" xfId="0" applyFont="1" applyFill="1" applyBorder="1" applyAlignment="1" applyProtection="1">
      <alignment/>
      <protection hidden="1"/>
    </xf>
    <xf numFmtId="0" fontId="0" fillId="5" borderId="30" xfId="0" applyFont="1" applyFill="1" applyBorder="1" applyAlignment="1" applyProtection="1">
      <alignment/>
      <protection hidden="1"/>
    </xf>
    <xf numFmtId="0" fontId="0" fillId="7" borderId="18" xfId="0" applyFont="1" applyFill="1" applyBorder="1" applyAlignment="1" applyProtection="1">
      <alignment/>
      <protection hidden="1"/>
    </xf>
    <xf numFmtId="0" fontId="0" fillId="7" borderId="19" xfId="0" applyFont="1" applyFill="1" applyBorder="1" applyAlignment="1" applyProtection="1">
      <alignment/>
      <protection hidden="1"/>
    </xf>
    <xf numFmtId="0" fontId="0" fillId="5" borderId="17" xfId="0" applyFont="1" applyFill="1" applyBorder="1" applyAlignment="1" applyProtection="1">
      <alignment/>
      <protection hidden="1"/>
    </xf>
    <xf numFmtId="0" fontId="0" fillId="5" borderId="18" xfId="0" applyFont="1" applyFill="1" applyBorder="1" applyAlignment="1" applyProtection="1">
      <alignment/>
      <protection hidden="1"/>
    </xf>
    <xf numFmtId="0" fontId="0" fillId="5" borderId="19" xfId="0" applyFont="1" applyFill="1" applyBorder="1" applyAlignment="1" applyProtection="1">
      <alignment/>
      <protection hidden="1"/>
    </xf>
    <xf numFmtId="173" fontId="10" fillId="5" borderId="29" xfId="0" applyNumberFormat="1" applyFont="1" applyFill="1" applyBorder="1" applyAlignment="1" applyProtection="1">
      <alignment vertical="center"/>
      <protection hidden="1"/>
    </xf>
    <xf numFmtId="0" fontId="10" fillId="6" borderId="18" xfId="0" applyFont="1" applyFill="1" applyBorder="1" applyAlignment="1" applyProtection="1">
      <alignment vertical="top"/>
      <protection hidden="1"/>
    </xf>
    <xf numFmtId="173" fontId="2" fillId="5" borderId="31" xfId="0" applyNumberFormat="1" applyFont="1" applyFill="1" applyBorder="1" applyAlignment="1" applyProtection="1">
      <alignment vertical="center"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3" fontId="9" fillId="7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Border="1" applyAlignment="1" applyProtection="1">
      <alignment/>
      <protection hidden="1"/>
    </xf>
    <xf numFmtId="0" fontId="11" fillId="4" borderId="31" xfId="0" applyFont="1" applyFill="1" applyBorder="1" applyAlignment="1" applyProtection="1">
      <alignment horizontal="center" vertical="center"/>
      <protection hidden="1"/>
    </xf>
    <xf numFmtId="0" fontId="2" fillId="4" borderId="32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73" fontId="3" fillId="5" borderId="31" xfId="0" applyNumberFormat="1" applyFont="1" applyFill="1" applyBorder="1" applyAlignment="1" applyProtection="1">
      <alignment horizontal="center" vertical="center"/>
      <protection hidden="1"/>
    </xf>
    <xf numFmtId="173" fontId="5" fillId="5" borderId="33" xfId="0" applyNumberFormat="1" applyFont="1" applyFill="1" applyBorder="1" applyAlignment="1" applyProtection="1">
      <alignment horizontal="center" vertical="center"/>
      <protection hidden="1"/>
    </xf>
    <xf numFmtId="173" fontId="3" fillId="5" borderId="33" xfId="0" applyNumberFormat="1" applyFont="1" applyFill="1" applyBorder="1" applyAlignment="1" applyProtection="1">
      <alignment horizontal="center" vertical="center"/>
      <protection hidden="1"/>
    </xf>
    <xf numFmtId="173" fontId="5" fillId="5" borderId="32" xfId="0" applyNumberFormat="1" applyFont="1" applyFill="1" applyBorder="1" applyAlignment="1" applyProtection="1">
      <alignment horizontal="center" vertical="center"/>
      <protection hidden="1"/>
    </xf>
    <xf numFmtId="0" fontId="0" fillId="3" borderId="3" xfId="0" applyNumberFormat="1" applyFont="1" applyFill="1" applyBorder="1" applyAlignment="1" applyProtection="1">
      <alignment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175" fontId="2" fillId="5" borderId="34" xfId="0" applyNumberFormat="1" applyFont="1" applyFill="1" applyBorder="1" applyAlignment="1" applyProtection="1">
      <alignment horizontal="center" vertical="center"/>
      <protection hidden="1"/>
    </xf>
    <xf numFmtId="175" fontId="2" fillId="5" borderId="35" xfId="0" applyNumberFormat="1" applyFont="1" applyFill="1" applyBorder="1" applyAlignment="1" applyProtection="1">
      <alignment horizontal="center" vertical="center"/>
      <protection hidden="1"/>
    </xf>
    <xf numFmtId="175" fontId="2" fillId="7" borderId="36" xfId="0" applyNumberFormat="1" applyFont="1" applyFill="1" applyBorder="1" applyAlignment="1" applyProtection="1">
      <alignment horizontal="center" vertical="center"/>
      <protection hidden="1"/>
    </xf>
    <xf numFmtId="175" fontId="3" fillId="6" borderId="37" xfId="0" applyNumberFormat="1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/>
      <protection hidden="1"/>
    </xf>
    <xf numFmtId="0" fontId="19" fillId="2" borderId="0" xfId="0" applyFont="1" applyFill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0" fontId="0" fillId="3" borderId="18" xfId="0" applyFill="1" applyBorder="1" applyAlignment="1" applyProtection="1">
      <alignment/>
      <protection hidden="1"/>
    </xf>
    <xf numFmtId="0" fontId="4" fillId="3" borderId="18" xfId="0" applyFont="1" applyFill="1" applyBorder="1" applyAlignment="1" applyProtection="1">
      <alignment horizontal="center"/>
      <protection hidden="1"/>
    </xf>
    <xf numFmtId="0" fontId="0" fillId="3" borderId="19" xfId="0" applyFill="1" applyBorder="1" applyAlignment="1" applyProtection="1">
      <alignment/>
      <protection hidden="1"/>
    </xf>
    <xf numFmtId="0" fontId="2" fillId="4" borderId="11" xfId="0" applyFont="1" applyFill="1" applyBorder="1" applyAlignment="1" applyProtection="1">
      <alignment/>
      <protection hidden="1"/>
    </xf>
    <xf numFmtId="0" fontId="2" fillId="4" borderId="34" xfId="0" applyFont="1" applyFill="1" applyBorder="1" applyAlignment="1" applyProtection="1">
      <alignment/>
      <protection hidden="1"/>
    </xf>
    <xf numFmtId="0" fontId="0" fillId="3" borderId="27" xfId="0" applyFill="1" applyBorder="1" applyAlignment="1" applyProtection="1">
      <alignment/>
      <protection hidden="1"/>
    </xf>
    <xf numFmtId="0" fontId="2" fillId="4" borderId="38" xfId="0" applyFont="1" applyFill="1" applyBorder="1" applyAlignment="1" applyProtection="1">
      <alignment/>
      <protection hidden="1"/>
    </xf>
    <xf numFmtId="0" fontId="0" fillId="4" borderId="27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0" fillId="4" borderId="20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30" xfId="0" applyFill="1" applyBorder="1" applyAlignment="1" applyProtection="1">
      <alignment/>
      <protection hidden="1"/>
    </xf>
    <xf numFmtId="0" fontId="0" fillId="4" borderId="17" xfId="0" applyFill="1" applyBorder="1" applyAlignment="1" applyProtection="1">
      <alignment/>
      <protection hidden="1"/>
    </xf>
    <xf numFmtId="0" fontId="0" fillId="4" borderId="18" xfId="0" applyFill="1" applyBorder="1" applyAlignment="1" applyProtection="1">
      <alignment/>
      <protection hidden="1"/>
    </xf>
    <xf numFmtId="0" fontId="0" fillId="4" borderId="19" xfId="0" applyFill="1" applyBorder="1" applyAlignment="1" applyProtection="1">
      <alignment/>
      <protection hidden="1"/>
    </xf>
    <xf numFmtId="0" fontId="0" fillId="4" borderId="27" xfId="0" applyFont="1" applyFill="1" applyBorder="1" applyAlignment="1" applyProtection="1">
      <alignment/>
      <protection hidden="1"/>
    </xf>
    <xf numFmtId="0" fontId="0" fillId="4" borderId="25" xfId="0" applyFont="1" applyFill="1" applyBorder="1" applyAlignment="1" applyProtection="1">
      <alignment/>
      <protection hidden="1"/>
    </xf>
    <xf numFmtId="0" fontId="0" fillId="4" borderId="26" xfId="0" applyFont="1" applyFill="1" applyBorder="1" applyAlignment="1" applyProtection="1">
      <alignment/>
      <protection hidden="1"/>
    </xf>
    <xf numFmtId="0" fontId="0" fillId="4" borderId="20" xfId="0" applyFont="1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4" borderId="30" xfId="0" applyFont="1" applyFill="1" applyBorder="1" applyAlignment="1" applyProtection="1">
      <alignment/>
      <protection hidden="1"/>
    </xf>
    <xf numFmtId="0" fontId="0" fillId="4" borderId="18" xfId="0" applyFont="1" applyFill="1" applyBorder="1" applyAlignment="1" applyProtection="1">
      <alignment/>
      <protection hidden="1"/>
    </xf>
    <xf numFmtId="0" fontId="0" fillId="4" borderId="18" xfId="0" applyFont="1" applyFill="1" applyBorder="1" applyAlignment="1" applyProtection="1">
      <alignment/>
      <protection hidden="1"/>
    </xf>
    <xf numFmtId="0" fontId="0" fillId="4" borderId="19" xfId="0" applyFont="1" applyFill="1" applyBorder="1" applyAlignment="1" applyProtection="1">
      <alignment/>
      <protection hidden="1"/>
    </xf>
    <xf numFmtId="0" fontId="3" fillId="4" borderId="21" xfId="0" applyFont="1" applyFill="1" applyBorder="1" applyAlignment="1" applyProtection="1">
      <alignment vertical="center"/>
      <protection hidden="1"/>
    </xf>
    <xf numFmtId="0" fontId="3" fillId="4" borderId="11" xfId="0" applyFont="1" applyFill="1" applyBorder="1" applyAlignment="1" applyProtection="1">
      <alignment horizontal="right" vertical="center"/>
      <protection hidden="1"/>
    </xf>
    <xf numFmtId="0" fontId="3" fillId="4" borderId="28" xfId="0" applyFont="1" applyFill="1" applyBorder="1" applyAlignment="1" applyProtection="1">
      <alignment vertical="center"/>
      <protection hidden="1"/>
    </xf>
    <xf numFmtId="0" fontId="3" fillId="4" borderId="38" xfId="0" applyFont="1" applyFill="1" applyBorder="1" applyAlignment="1" applyProtection="1">
      <alignment horizontal="right" vertical="center"/>
      <protection hidden="1"/>
    </xf>
    <xf numFmtId="0" fontId="3" fillId="4" borderId="34" xfId="0" applyFont="1" applyFill="1" applyBorder="1" applyAlignment="1" applyProtection="1">
      <alignment vertical="center"/>
      <protection hidden="1"/>
    </xf>
    <xf numFmtId="173" fontId="24" fillId="7" borderId="15" xfId="0" applyNumberFormat="1" applyFont="1" applyFill="1" applyBorder="1" applyAlignment="1" applyProtection="1">
      <alignment vertical="center"/>
      <protection hidden="1"/>
    </xf>
    <xf numFmtId="173" fontId="24" fillId="7" borderId="9" xfId="0" applyNumberFormat="1" applyFont="1" applyFill="1" applyBorder="1" applyAlignment="1" applyProtection="1">
      <alignment vertical="center"/>
      <protection hidden="1"/>
    </xf>
    <xf numFmtId="173" fontId="24" fillId="5" borderId="15" xfId="0" applyNumberFormat="1" applyFont="1" applyFill="1" applyBorder="1" applyAlignment="1" applyProtection="1">
      <alignment vertical="center"/>
      <protection hidden="1"/>
    </xf>
    <xf numFmtId="173" fontId="24" fillId="5" borderId="9" xfId="0" applyNumberFormat="1" applyFont="1" applyFill="1" applyBorder="1" applyAlignment="1" applyProtection="1">
      <alignment vertical="center"/>
      <protection hidden="1"/>
    </xf>
    <xf numFmtId="173" fontId="24" fillId="7" borderId="16" xfId="0" applyNumberFormat="1" applyFont="1" applyFill="1" applyBorder="1" applyAlignment="1" applyProtection="1">
      <alignment vertical="center"/>
      <protection hidden="1"/>
    </xf>
    <xf numFmtId="173" fontId="24" fillId="7" borderId="5" xfId="0" applyNumberFormat="1" applyFont="1" applyFill="1" applyBorder="1" applyAlignment="1" applyProtection="1">
      <alignment vertical="center"/>
      <protection hidden="1"/>
    </xf>
    <xf numFmtId="0" fontId="3" fillId="4" borderId="38" xfId="0" applyFont="1" applyFill="1" applyBorder="1" applyAlignment="1" applyProtection="1">
      <alignment horizontal="center" vertical="center"/>
      <protection hidden="1"/>
    </xf>
    <xf numFmtId="0" fontId="3" fillId="4" borderId="39" xfId="0" applyFont="1" applyFill="1" applyBorder="1" applyAlignment="1" applyProtection="1">
      <alignment horizontal="center" vertical="center"/>
      <protection hidden="1"/>
    </xf>
    <xf numFmtId="0" fontId="25" fillId="4" borderId="15" xfId="0" applyFont="1" applyFill="1" applyBorder="1" applyAlignment="1" applyProtection="1">
      <alignment horizontal="center" vertical="center"/>
      <protection hidden="1"/>
    </xf>
    <xf numFmtId="0" fontId="25" fillId="4" borderId="16" xfId="0" applyFont="1" applyFill="1" applyBorder="1" applyAlignment="1" applyProtection="1">
      <alignment horizontal="center" vertical="center"/>
      <protection hidden="1"/>
    </xf>
    <xf numFmtId="173" fontId="12" fillId="5" borderId="8" xfId="0" applyNumberFormat="1" applyFont="1" applyFill="1" applyBorder="1" applyAlignment="1" applyProtection="1">
      <alignment vertical="center"/>
      <protection hidden="1"/>
    </xf>
    <xf numFmtId="0" fontId="4" fillId="3" borderId="27" xfId="0" applyFont="1" applyFill="1" applyBorder="1" applyAlignment="1" applyProtection="1">
      <alignment vertical="center"/>
      <protection hidden="1"/>
    </xf>
    <xf numFmtId="0" fontId="4" fillId="3" borderId="25" xfId="0" applyFont="1" applyFill="1" applyBorder="1" applyAlignment="1" applyProtection="1">
      <alignment horizontal="center" vertical="center"/>
      <protection hidden="1"/>
    </xf>
    <xf numFmtId="0" fontId="4" fillId="3" borderId="18" xfId="0" applyFont="1" applyFill="1" applyBorder="1" applyAlignment="1" applyProtection="1">
      <alignment horizontal="center" vertical="center"/>
      <protection hidden="1"/>
    </xf>
    <xf numFmtId="173" fontId="24" fillId="5" borderId="14" xfId="0" applyNumberFormat="1" applyFont="1" applyFill="1" applyBorder="1" applyAlignment="1" applyProtection="1">
      <alignment vertical="center"/>
      <protection hidden="1"/>
    </xf>
    <xf numFmtId="173" fontId="6" fillId="5" borderId="7" xfId="0" applyNumberFormat="1" applyFont="1" applyFill="1" applyBorder="1" applyAlignment="1" applyProtection="1">
      <alignment vertical="center"/>
      <protection hidden="1"/>
    </xf>
    <xf numFmtId="173" fontId="29" fillId="5" borderId="7" xfId="0" applyNumberFormat="1" applyFont="1" applyFill="1" applyBorder="1" applyAlignment="1" applyProtection="1">
      <alignment vertical="center"/>
      <protection hidden="1"/>
    </xf>
    <xf numFmtId="173" fontId="29" fillId="7" borderId="9" xfId="0" applyNumberFormat="1" applyFont="1" applyFill="1" applyBorder="1" applyAlignment="1" applyProtection="1">
      <alignment vertical="center"/>
      <protection hidden="1"/>
    </xf>
    <xf numFmtId="173" fontId="29" fillId="5" borderId="9" xfId="0" applyNumberFormat="1" applyFont="1" applyFill="1" applyBorder="1" applyAlignment="1" applyProtection="1">
      <alignment vertical="center"/>
      <protection hidden="1"/>
    </xf>
    <xf numFmtId="173" fontId="29" fillId="7" borderId="5" xfId="0" applyNumberFormat="1" applyFont="1" applyFill="1" applyBorder="1" applyAlignment="1" applyProtection="1">
      <alignment vertical="center"/>
      <protection hidden="1"/>
    </xf>
    <xf numFmtId="0" fontId="17" fillId="3" borderId="1" xfId="0" applyNumberFormat="1" applyFont="1" applyFill="1" applyBorder="1" applyAlignment="1" applyProtection="1">
      <alignment vertical="center"/>
      <protection hidden="1"/>
    </xf>
    <xf numFmtId="0" fontId="3" fillId="4" borderId="40" xfId="0" applyNumberFormat="1" applyFont="1" applyFill="1" applyBorder="1" applyAlignment="1" applyProtection="1">
      <alignment horizontal="center" vertical="center"/>
      <protection hidden="1"/>
    </xf>
    <xf numFmtId="173" fontId="2" fillId="5" borderId="14" xfId="0" applyNumberFormat="1" applyFont="1" applyFill="1" applyBorder="1" applyAlignment="1" applyProtection="1">
      <alignment horizontal="center" vertical="center"/>
      <protection hidden="1"/>
    </xf>
    <xf numFmtId="173" fontId="2" fillId="7" borderId="15" xfId="0" applyNumberFormat="1" applyFont="1" applyFill="1" applyBorder="1" applyAlignment="1" applyProtection="1">
      <alignment horizontal="center" vertical="center"/>
      <protection hidden="1"/>
    </xf>
    <xf numFmtId="173" fontId="2" fillId="5" borderId="16" xfId="0" applyNumberFormat="1" applyFont="1" applyFill="1" applyBorder="1" applyAlignment="1" applyProtection="1">
      <alignment horizontal="center" vertical="center"/>
      <protection hidden="1"/>
    </xf>
    <xf numFmtId="173" fontId="5" fillId="6" borderId="40" xfId="0" applyNumberFormat="1" applyFont="1" applyFill="1" applyBorder="1" applyAlignment="1" applyProtection="1">
      <alignment horizontal="center" vertical="center"/>
      <protection hidden="1"/>
    </xf>
    <xf numFmtId="0" fontId="2" fillId="7" borderId="32" xfId="0" applyFont="1" applyFill="1" applyBorder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0" fontId="15" fillId="5" borderId="0" xfId="0" applyFont="1" applyFill="1" applyAlignment="1" applyProtection="1">
      <alignment/>
      <protection hidden="1"/>
    </xf>
    <xf numFmtId="0" fontId="32" fillId="5" borderId="31" xfId="0" applyFont="1" applyFill="1" applyBorder="1" applyAlignment="1" applyProtection="1">
      <alignment/>
      <protection hidden="1"/>
    </xf>
    <xf numFmtId="0" fontId="32" fillId="5" borderId="28" xfId="0" applyFont="1" applyFill="1" applyBorder="1" applyAlignment="1" applyProtection="1">
      <alignment/>
      <protection hidden="1"/>
    </xf>
    <xf numFmtId="0" fontId="32" fillId="5" borderId="7" xfId="0" applyFont="1" applyFill="1" applyBorder="1" applyAlignment="1" applyProtection="1">
      <alignment/>
      <protection hidden="1"/>
    </xf>
    <xf numFmtId="0" fontId="32" fillId="5" borderId="8" xfId="0" applyFont="1" applyFill="1" applyBorder="1" applyAlignment="1" applyProtection="1">
      <alignment/>
      <protection hidden="1"/>
    </xf>
    <xf numFmtId="0" fontId="32" fillId="5" borderId="33" xfId="0" applyFont="1" applyFill="1" applyBorder="1" applyAlignment="1" applyProtection="1">
      <alignment/>
      <protection hidden="1"/>
    </xf>
    <xf numFmtId="0" fontId="32" fillId="5" borderId="41" xfId="0" applyFont="1" applyFill="1" applyBorder="1" applyAlignment="1" applyProtection="1">
      <alignment/>
      <protection hidden="1"/>
    </xf>
    <xf numFmtId="0" fontId="32" fillId="5" borderId="9" xfId="0" applyFont="1" applyFill="1" applyBorder="1" applyAlignment="1" applyProtection="1">
      <alignment/>
      <protection hidden="1"/>
    </xf>
    <xf numFmtId="0" fontId="32" fillId="5" borderId="10" xfId="0" applyFont="1" applyFill="1" applyBorder="1" applyAlignment="1" applyProtection="1">
      <alignment/>
      <protection hidden="1"/>
    </xf>
    <xf numFmtId="0" fontId="32" fillId="5" borderId="32" xfId="0" applyFont="1" applyFill="1" applyBorder="1" applyAlignment="1" applyProtection="1">
      <alignment/>
      <protection hidden="1"/>
    </xf>
    <xf numFmtId="0" fontId="32" fillId="5" borderId="4" xfId="0" applyFont="1" applyFill="1" applyBorder="1" applyAlignment="1" applyProtection="1">
      <alignment/>
      <protection hidden="1"/>
    </xf>
    <xf numFmtId="0" fontId="32" fillId="5" borderId="5" xfId="0" applyFont="1" applyFill="1" applyBorder="1" applyAlignment="1" applyProtection="1">
      <alignment/>
      <protection hidden="1"/>
    </xf>
    <xf numFmtId="0" fontId="32" fillId="5" borderId="6" xfId="0" applyFont="1" applyFill="1" applyBorder="1" applyAlignment="1" applyProtection="1">
      <alignment/>
      <protection hidden="1"/>
    </xf>
    <xf numFmtId="0" fontId="32" fillId="5" borderId="31" xfId="0" applyFont="1" applyFill="1" applyBorder="1" applyAlignment="1" applyProtection="1">
      <alignment horizontal="center"/>
      <protection hidden="1"/>
    </xf>
    <xf numFmtId="173" fontId="32" fillId="5" borderId="28" xfId="0" applyNumberFormat="1" applyFont="1" applyFill="1" applyBorder="1" applyAlignment="1" applyProtection="1">
      <alignment/>
      <protection hidden="1"/>
    </xf>
    <xf numFmtId="173" fontId="32" fillId="5" borderId="7" xfId="0" applyNumberFormat="1" applyFont="1" applyFill="1" applyBorder="1" applyAlignment="1" applyProtection="1">
      <alignment/>
      <protection hidden="1"/>
    </xf>
    <xf numFmtId="173" fontId="32" fillId="5" borderId="8" xfId="0" applyNumberFormat="1" applyFont="1" applyFill="1" applyBorder="1" applyAlignment="1" applyProtection="1">
      <alignment/>
      <protection hidden="1"/>
    </xf>
    <xf numFmtId="0" fontId="32" fillId="5" borderId="33" xfId="0" applyFont="1" applyFill="1" applyBorder="1" applyAlignment="1" applyProtection="1">
      <alignment horizontal="center"/>
      <protection hidden="1"/>
    </xf>
    <xf numFmtId="173" fontId="32" fillId="5" borderId="41" xfId="0" applyNumberFormat="1" applyFont="1" applyFill="1" applyBorder="1" applyAlignment="1" applyProtection="1">
      <alignment/>
      <protection hidden="1"/>
    </xf>
    <xf numFmtId="173" fontId="32" fillId="5" borderId="9" xfId="0" applyNumberFormat="1" applyFont="1" applyFill="1" applyBorder="1" applyAlignment="1" applyProtection="1">
      <alignment/>
      <protection hidden="1"/>
    </xf>
    <xf numFmtId="173" fontId="32" fillId="5" borderId="10" xfId="0" applyNumberFormat="1" applyFont="1" applyFill="1" applyBorder="1" applyAlignment="1" applyProtection="1">
      <alignment/>
      <protection hidden="1"/>
    </xf>
    <xf numFmtId="0" fontId="32" fillId="5" borderId="32" xfId="0" applyFont="1" applyFill="1" applyBorder="1" applyAlignment="1" applyProtection="1">
      <alignment horizontal="center"/>
      <protection hidden="1"/>
    </xf>
    <xf numFmtId="173" fontId="32" fillId="5" borderId="4" xfId="0" applyNumberFormat="1" applyFont="1" applyFill="1" applyBorder="1" applyAlignment="1" applyProtection="1">
      <alignment/>
      <protection hidden="1"/>
    </xf>
    <xf numFmtId="173" fontId="32" fillId="5" borderId="5" xfId="0" applyNumberFormat="1" applyFont="1" applyFill="1" applyBorder="1" applyAlignment="1" applyProtection="1">
      <alignment/>
      <protection hidden="1"/>
    </xf>
    <xf numFmtId="173" fontId="32" fillId="5" borderId="6" xfId="0" applyNumberFormat="1" applyFont="1" applyFill="1" applyBorder="1" applyAlignment="1" applyProtection="1">
      <alignment/>
      <protection hidden="1"/>
    </xf>
    <xf numFmtId="0" fontId="32" fillId="3" borderId="39" xfId="0" applyFont="1" applyFill="1" applyBorder="1" applyAlignment="1" applyProtection="1">
      <alignment/>
      <protection hidden="1"/>
    </xf>
    <xf numFmtId="0" fontId="32" fillId="3" borderId="21" xfId="0" applyFont="1" applyFill="1" applyBorder="1" applyAlignment="1" applyProtection="1">
      <alignment/>
      <protection hidden="1"/>
    </xf>
    <xf numFmtId="3" fontId="32" fillId="3" borderId="21" xfId="0" applyNumberFormat="1" applyFont="1" applyFill="1" applyBorder="1" applyAlignment="1" applyProtection="1">
      <alignment horizontal="center"/>
      <protection hidden="1"/>
    </xf>
    <xf numFmtId="0" fontId="33" fillId="4" borderId="39" xfId="0" applyFont="1" applyFill="1" applyBorder="1" applyAlignment="1" applyProtection="1">
      <alignment horizontal="center" vertical="center"/>
      <protection hidden="1"/>
    </xf>
    <xf numFmtId="3" fontId="36" fillId="5" borderId="21" xfId="0" applyNumberFormat="1" applyFont="1" applyFill="1" applyBorder="1" applyAlignment="1" applyProtection="1">
      <alignment horizontal="center"/>
      <protection hidden="1"/>
    </xf>
    <xf numFmtId="0" fontId="15" fillId="2" borderId="0" xfId="0" applyFont="1" applyFill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173" fontId="12" fillId="7" borderId="42" xfId="0" applyNumberFormat="1" applyFont="1" applyFill="1" applyBorder="1" applyAlignment="1" applyProtection="1">
      <alignment vertical="center"/>
      <protection hidden="1"/>
    </xf>
    <xf numFmtId="173" fontId="12" fillId="5" borderId="42" xfId="0" applyNumberFormat="1" applyFont="1" applyFill="1" applyBorder="1" applyAlignment="1" applyProtection="1">
      <alignment vertical="center"/>
      <protection hidden="1"/>
    </xf>
    <xf numFmtId="175" fontId="26" fillId="6" borderId="43" xfId="0" applyNumberFormat="1" applyFont="1" applyFill="1" applyBorder="1" applyAlignment="1" applyProtection="1">
      <alignment vertical="center" wrapText="1"/>
      <protection hidden="1"/>
    </xf>
    <xf numFmtId="175" fontId="27" fillId="6" borderId="44" xfId="0" applyNumberFormat="1" applyFont="1" applyFill="1" applyBorder="1" applyAlignment="1" applyProtection="1">
      <alignment vertical="center"/>
      <protection hidden="1"/>
    </xf>
    <xf numFmtId="175" fontId="28" fillId="6" borderId="45" xfId="0" applyNumberFormat="1" applyFont="1" applyFill="1" applyBorder="1" applyAlignment="1" applyProtection="1">
      <alignment vertical="center"/>
      <protection hidden="1"/>
    </xf>
    <xf numFmtId="173" fontId="12" fillId="7" borderId="45" xfId="0" applyNumberFormat="1" applyFont="1" applyFill="1" applyBorder="1" applyAlignment="1" applyProtection="1">
      <alignment vertical="center"/>
      <protection hidden="1"/>
    </xf>
    <xf numFmtId="0" fontId="25" fillId="4" borderId="46" xfId="0" applyFont="1" applyFill="1" applyBorder="1" applyAlignment="1" applyProtection="1">
      <alignment horizontal="center" vertical="center"/>
      <protection hidden="1"/>
    </xf>
    <xf numFmtId="175" fontId="26" fillId="6" borderId="43" xfId="0" applyNumberFormat="1" applyFont="1" applyFill="1" applyBorder="1" applyAlignment="1" applyProtection="1">
      <alignment vertical="center"/>
      <protection hidden="1"/>
    </xf>
    <xf numFmtId="0" fontId="25" fillId="4" borderId="41" xfId="0" applyFont="1" applyFill="1" applyBorder="1" applyAlignment="1" applyProtection="1">
      <alignment horizontal="center" vertical="center"/>
      <protection hidden="1"/>
    </xf>
    <xf numFmtId="173" fontId="37" fillId="5" borderId="14" xfId="0" applyNumberFormat="1" applyFont="1" applyFill="1" applyBorder="1" applyAlignment="1" applyProtection="1">
      <alignment vertical="center"/>
      <protection hidden="1"/>
    </xf>
    <xf numFmtId="0" fontId="38" fillId="4" borderId="5" xfId="0" applyFont="1" applyFill="1" applyBorder="1" applyAlignment="1" applyProtection="1">
      <alignment horizontal="center" vertical="center"/>
      <protection hidden="1"/>
    </xf>
    <xf numFmtId="0" fontId="39" fillId="4" borderId="47" xfId="0" applyFont="1" applyFill="1" applyBorder="1" applyAlignment="1" applyProtection="1">
      <alignment horizontal="center" vertical="center"/>
      <protection hidden="1"/>
    </xf>
    <xf numFmtId="0" fontId="39" fillId="4" borderId="48" xfId="0" applyFont="1" applyFill="1" applyBorder="1" applyAlignment="1" applyProtection="1">
      <alignment horizontal="center" vertical="center"/>
      <protection hidden="1"/>
    </xf>
    <xf numFmtId="0" fontId="38" fillId="4" borderId="9" xfId="0" applyFont="1" applyFill="1" applyBorder="1" applyAlignment="1" applyProtection="1">
      <alignment horizontal="center" vertical="center"/>
      <protection hidden="1"/>
    </xf>
    <xf numFmtId="0" fontId="38" fillId="4" borderId="49" xfId="0" applyFont="1" applyFill="1" applyBorder="1" applyAlignment="1" applyProtection="1">
      <alignment horizontal="center" vertical="center"/>
      <protection hidden="1"/>
    </xf>
    <xf numFmtId="0" fontId="39" fillId="4" borderId="50" xfId="0" applyFont="1" applyFill="1" applyBorder="1" applyAlignment="1" applyProtection="1">
      <alignment horizontal="center" vertical="center"/>
      <protection hidden="1"/>
    </xf>
    <xf numFmtId="0" fontId="40" fillId="4" borderId="33" xfId="0" applyFont="1" applyFill="1" applyBorder="1" applyAlignment="1" applyProtection="1">
      <alignment horizontal="center" vertical="center"/>
      <protection hidden="1"/>
    </xf>
    <xf numFmtId="0" fontId="41" fillId="4" borderId="21" xfId="0" applyFont="1" applyFill="1" applyBorder="1" applyAlignment="1" applyProtection="1">
      <alignment horizontal="center" vertical="center"/>
      <protection hidden="1"/>
    </xf>
    <xf numFmtId="173" fontId="42" fillId="5" borderId="31" xfId="0" applyNumberFormat="1" applyFont="1" applyFill="1" applyBorder="1" applyAlignment="1" applyProtection="1">
      <alignment vertical="center"/>
      <protection hidden="1"/>
    </xf>
    <xf numFmtId="173" fontId="42" fillId="7" borderId="33" xfId="0" applyNumberFormat="1" applyFont="1" applyFill="1" applyBorder="1" applyAlignment="1" applyProtection="1">
      <alignment vertical="center"/>
      <protection hidden="1"/>
    </xf>
    <xf numFmtId="173" fontId="42" fillId="5" borderId="33" xfId="0" applyNumberFormat="1" applyFont="1" applyFill="1" applyBorder="1" applyAlignment="1" applyProtection="1">
      <alignment vertical="center"/>
      <protection hidden="1"/>
    </xf>
    <xf numFmtId="173" fontId="42" fillId="7" borderId="32" xfId="0" applyNumberFormat="1" applyFont="1" applyFill="1" applyBorder="1" applyAlignment="1" applyProtection="1">
      <alignment vertical="center"/>
      <protection hidden="1"/>
    </xf>
    <xf numFmtId="0" fontId="41" fillId="4" borderId="51" xfId="0" applyFont="1" applyFill="1" applyBorder="1" applyAlignment="1" applyProtection="1">
      <alignment horizontal="center" vertical="center"/>
      <protection hidden="1"/>
    </xf>
    <xf numFmtId="0" fontId="39" fillId="4" borderId="10" xfId="0" applyFont="1" applyFill="1" applyBorder="1" applyAlignment="1" applyProtection="1">
      <alignment horizontal="center" vertical="center"/>
      <protection hidden="1"/>
    </xf>
    <xf numFmtId="173" fontId="6" fillId="7" borderId="52" xfId="0" applyNumberFormat="1" applyFont="1" applyFill="1" applyBorder="1" applyAlignment="1" applyProtection="1">
      <alignment vertical="center"/>
      <protection hidden="1"/>
    </xf>
    <xf numFmtId="173" fontId="6" fillId="5" borderId="52" xfId="0" applyNumberFormat="1" applyFont="1" applyFill="1" applyBorder="1" applyAlignment="1" applyProtection="1">
      <alignment vertical="center"/>
      <protection hidden="1"/>
    </xf>
    <xf numFmtId="173" fontId="6" fillId="7" borderId="44" xfId="0" applyNumberFormat="1" applyFont="1" applyFill="1" applyBorder="1" applyAlignment="1" applyProtection="1">
      <alignment vertical="center"/>
      <protection hidden="1"/>
    </xf>
    <xf numFmtId="173" fontId="24" fillId="5" borderId="7" xfId="0" applyNumberFormat="1" applyFont="1" applyFill="1" applyBorder="1" applyAlignment="1" applyProtection="1">
      <alignment vertical="center"/>
      <protection hidden="1"/>
    </xf>
    <xf numFmtId="0" fontId="45" fillId="4" borderId="53" xfId="0" applyFont="1" applyFill="1" applyBorder="1" applyAlignment="1" applyProtection="1">
      <alignment horizontal="center" vertical="center"/>
      <protection hidden="1"/>
    </xf>
    <xf numFmtId="0" fontId="45" fillId="4" borderId="43" xfId="0" applyFont="1" applyFill="1" applyBorder="1" applyAlignment="1" applyProtection="1">
      <alignment horizontal="center" vertical="center"/>
      <protection hidden="1"/>
    </xf>
    <xf numFmtId="0" fontId="45" fillId="4" borderId="52" xfId="0" applyFont="1" applyFill="1" applyBorder="1" applyAlignment="1" applyProtection="1">
      <alignment horizontal="center" vertical="center"/>
      <protection hidden="1"/>
    </xf>
    <xf numFmtId="0" fontId="45" fillId="4" borderId="44" xfId="0" applyFont="1" applyFill="1" applyBorder="1" applyAlignment="1" applyProtection="1">
      <alignment horizontal="center" vertical="center"/>
      <protection hidden="1"/>
    </xf>
    <xf numFmtId="173" fontId="24" fillId="5" borderId="14" xfId="0" applyNumberFormat="1" applyFont="1" applyFill="1" applyBorder="1" applyAlignment="1" applyProtection="1">
      <alignment vertical="center"/>
      <protection hidden="1"/>
    </xf>
    <xf numFmtId="173" fontId="24" fillId="7" borderId="15" xfId="0" applyNumberFormat="1" applyFont="1" applyFill="1" applyBorder="1" applyAlignment="1" applyProtection="1">
      <alignment vertical="center"/>
      <protection hidden="1"/>
    </xf>
    <xf numFmtId="173" fontId="24" fillId="7" borderId="9" xfId="0" applyNumberFormat="1" applyFont="1" applyFill="1" applyBorder="1" applyAlignment="1" applyProtection="1">
      <alignment vertical="center"/>
      <protection hidden="1"/>
    </xf>
    <xf numFmtId="0" fontId="25" fillId="4" borderId="54" xfId="0" applyFont="1" applyFill="1" applyBorder="1" applyAlignment="1" applyProtection="1">
      <alignment horizontal="center" vertical="center"/>
      <protection hidden="1"/>
    </xf>
    <xf numFmtId="0" fontId="39" fillId="4" borderId="55" xfId="0" applyFont="1" applyFill="1" applyBorder="1" applyAlignment="1" applyProtection="1">
      <alignment horizontal="center" vertical="center"/>
      <protection hidden="1"/>
    </xf>
    <xf numFmtId="175" fontId="44" fillId="8" borderId="43" xfId="0" applyNumberFormat="1" applyFont="1" applyFill="1" applyBorder="1" applyAlignment="1" applyProtection="1">
      <alignment vertical="center"/>
      <protection hidden="1"/>
    </xf>
    <xf numFmtId="175" fontId="27" fillId="8" borderId="44" xfId="0" applyNumberFormat="1" applyFont="1" applyFill="1" applyBorder="1" applyAlignment="1" applyProtection="1">
      <alignment vertical="center"/>
      <protection hidden="1"/>
    </xf>
    <xf numFmtId="175" fontId="28" fillId="8" borderId="45" xfId="0" applyNumberFormat="1" applyFont="1" applyFill="1" applyBorder="1" applyAlignment="1" applyProtection="1">
      <alignment vertical="center"/>
      <protection hidden="1"/>
    </xf>
    <xf numFmtId="173" fontId="0" fillId="2" borderId="0" xfId="0" applyNumberFormat="1" applyFill="1" applyAlignment="1" applyProtection="1">
      <alignment/>
      <protection hidden="1"/>
    </xf>
    <xf numFmtId="0" fontId="47" fillId="4" borderId="52" xfId="0" applyFont="1" applyFill="1" applyBorder="1" applyAlignment="1" applyProtection="1">
      <alignment horizontal="center" vertical="center"/>
      <protection hidden="1"/>
    </xf>
    <xf numFmtId="0" fontId="47" fillId="4" borderId="44" xfId="0" applyFont="1" applyFill="1" applyBorder="1" applyAlignment="1" applyProtection="1">
      <alignment horizontal="center" vertical="center"/>
      <protection hidden="1"/>
    </xf>
    <xf numFmtId="0" fontId="47" fillId="4" borderId="42" xfId="0" applyFont="1" applyFill="1" applyBorder="1" applyAlignment="1" applyProtection="1">
      <alignment horizontal="center" vertical="center"/>
      <protection hidden="1"/>
    </xf>
    <xf numFmtId="0" fontId="47" fillId="4" borderId="45" xfId="0" applyFont="1" applyFill="1" applyBorder="1" applyAlignment="1" applyProtection="1">
      <alignment horizontal="center" vertical="center"/>
      <protection hidden="1"/>
    </xf>
    <xf numFmtId="173" fontId="29" fillId="5" borderId="8" xfId="0" applyNumberFormat="1" applyFont="1" applyFill="1" applyBorder="1" applyAlignment="1" applyProtection="1">
      <alignment vertical="center"/>
      <protection hidden="1"/>
    </xf>
    <xf numFmtId="173" fontId="29" fillId="7" borderId="10" xfId="0" applyNumberFormat="1" applyFont="1" applyFill="1" applyBorder="1" applyAlignment="1" applyProtection="1">
      <alignment vertical="center"/>
      <protection hidden="1"/>
    </xf>
    <xf numFmtId="173" fontId="29" fillId="5" borderId="10" xfId="0" applyNumberFormat="1" applyFont="1" applyFill="1" applyBorder="1" applyAlignment="1" applyProtection="1">
      <alignment vertical="center"/>
      <protection hidden="1"/>
    </xf>
    <xf numFmtId="173" fontId="29" fillId="7" borderId="6" xfId="0" applyNumberFormat="1" applyFont="1" applyFill="1" applyBorder="1" applyAlignment="1" applyProtection="1">
      <alignment vertical="center"/>
      <protection hidden="1"/>
    </xf>
    <xf numFmtId="0" fontId="17" fillId="2" borderId="0" xfId="0" applyFont="1" applyFill="1" applyAlignment="1" applyProtection="1">
      <alignment horizontal="right"/>
      <protection hidden="1"/>
    </xf>
    <xf numFmtId="3" fontId="17" fillId="2" borderId="0" xfId="0" applyNumberFormat="1" applyFont="1" applyFill="1" applyAlignment="1" applyProtection="1">
      <alignment horizontal="right"/>
      <protection hidden="1"/>
    </xf>
    <xf numFmtId="0" fontId="38" fillId="2" borderId="0" xfId="0" applyFont="1" applyFill="1" applyAlignment="1" applyProtection="1">
      <alignment/>
      <protection hidden="1"/>
    </xf>
    <xf numFmtId="3" fontId="38" fillId="2" borderId="0" xfId="0" applyNumberFormat="1" applyFont="1" applyFill="1" applyAlignment="1" applyProtection="1">
      <alignment horizontal="left"/>
      <protection hidden="1"/>
    </xf>
    <xf numFmtId="0" fontId="49" fillId="3" borderId="1" xfId="0" applyFont="1" applyFill="1" applyBorder="1" applyAlignment="1" applyProtection="1">
      <alignment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3" fillId="5" borderId="34" xfId="0" applyFont="1" applyFill="1" applyBorder="1" applyAlignment="1" applyProtection="1">
      <alignment vertical="center"/>
      <protection hidden="1"/>
    </xf>
    <xf numFmtId="0" fontId="3" fillId="7" borderId="36" xfId="0" applyFont="1" applyFill="1" applyBorder="1" applyAlignment="1" applyProtection="1">
      <alignment vertical="center"/>
      <protection hidden="1"/>
    </xf>
    <xf numFmtId="0" fontId="3" fillId="5" borderId="36" xfId="0" applyFont="1" applyFill="1" applyBorder="1" applyAlignment="1" applyProtection="1">
      <alignment vertical="center"/>
      <protection hidden="1"/>
    </xf>
    <xf numFmtId="0" fontId="3" fillId="7" borderId="35" xfId="0" applyFont="1" applyFill="1" applyBorder="1" applyAlignment="1" applyProtection="1">
      <alignment vertical="center"/>
      <protection hidden="1"/>
    </xf>
    <xf numFmtId="0" fontId="1" fillId="4" borderId="40" xfId="0" applyFont="1" applyFill="1" applyBorder="1" applyAlignment="1" applyProtection="1">
      <alignment horizontal="center" vertical="center"/>
      <protection hidden="1"/>
    </xf>
    <xf numFmtId="0" fontId="3" fillId="5" borderId="14" xfId="0" applyFont="1" applyFill="1" applyBorder="1" applyAlignment="1" applyProtection="1">
      <alignment vertical="center"/>
      <protection hidden="1"/>
    </xf>
    <xf numFmtId="0" fontId="3" fillId="7" borderId="15" xfId="0" applyFont="1" applyFill="1" applyBorder="1" applyAlignment="1" applyProtection="1">
      <alignment vertical="center"/>
      <protection hidden="1"/>
    </xf>
    <xf numFmtId="0" fontId="3" fillId="5" borderId="15" xfId="0" applyFont="1" applyFill="1" applyBorder="1" applyAlignment="1" applyProtection="1">
      <alignment vertical="center"/>
      <protection hidden="1"/>
    </xf>
    <xf numFmtId="0" fontId="3" fillId="7" borderId="16" xfId="0" applyFont="1" applyFill="1" applyBorder="1" applyAlignment="1" applyProtection="1">
      <alignment vertical="center"/>
      <protection hidden="1"/>
    </xf>
    <xf numFmtId="173" fontId="37" fillId="7" borderId="53" xfId="0" applyNumberFormat="1" applyFont="1" applyFill="1" applyBorder="1" applyAlignment="1" applyProtection="1">
      <alignment vertical="center"/>
      <protection hidden="1"/>
    </xf>
    <xf numFmtId="173" fontId="37" fillId="5" borderId="53" xfId="0" applyNumberFormat="1" applyFont="1" applyFill="1" applyBorder="1" applyAlignment="1" applyProtection="1">
      <alignment vertical="center"/>
      <protection hidden="1"/>
    </xf>
    <xf numFmtId="173" fontId="37" fillId="7" borderId="43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/>
      <protection hidden="1"/>
    </xf>
    <xf numFmtId="0" fontId="52" fillId="2" borderId="0" xfId="0" applyFont="1" applyFill="1" applyAlignment="1" applyProtection="1">
      <alignment horizontal="center"/>
      <protection hidden="1"/>
    </xf>
    <xf numFmtId="0" fontId="32" fillId="3" borderId="1" xfId="0" applyFont="1" applyFill="1" applyBorder="1" applyAlignment="1" applyProtection="1">
      <alignment horizontal="center" vertical="center"/>
      <protection hidden="1"/>
    </xf>
    <xf numFmtId="0" fontId="32" fillId="3" borderId="56" xfId="0" applyFont="1" applyFill="1" applyBorder="1" applyAlignment="1" applyProtection="1">
      <alignment horizontal="center" vertical="center"/>
      <protection hidden="1"/>
    </xf>
    <xf numFmtId="0" fontId="32" fillId="3" borderId="37" xfId="0" applyFont="1" applyFill="1" applyBorder="1" applyAlignment="1" applyProtection="1">
      <alignment horizontal="center" vertical="center"/>
      <protection hidden="1"/>
    </xf>
    <xf numFmtId="0" fontId="35" fillId="3" borderId="39" xfId="0" applyFont="1" applyFill="1" applyBorder="1" applyAlignment="1" applyProtection="1">
      <alignment horizontal="center"/>
      <protection hidden="1"/>
    </xf>
    <xf numFmtId="0" fontId="32" fillId="3" borderId="21" xfId="0" applyFont="1" applyFill="1" applyBorder="1" applyAlignment="1" applyProtection="1">
      <alignment/>
      <protection hidden="1"/>
    </xf>
    <xf numFmtId="0" fontId="0" fillId="9" borderId="0" xfId="0" applyFill="1" applyBorder="1" applyAlignment="1" applyProtection="1">
      <alignment/>
      <protection hidden="1"/>
    </xf>
    <xf numFmtId="0" fontId="13" fillId="9" borderId="0" xfId="0" applyFont="1" applyFill="1" applyBorder="1" applyAlignment="1" applyProtection="1">
      <alignment horizontal="center" vertical="center"/>
      <protection hidden="1"/>
    </xf>
    <xf numFmtId="0" fontId="57" fillId="2" borderId="0" xfId="0" applyFont="1" applyFill="1" applyAlignment="1" applyProtection="1">
      <alignment vertical="center"/>
      <protection hidden="1"/>
    </xf>
    <xf numFmtId="0" fontId="56" fillId="9" borderId="0" xfId="0" applyFont="1" applyFill="1" applyBorder="1" applyAlignment="1" applyProtection="1">
      <alignment horizontal="center"/>
      <protection hidden="1"/>
    </xf>
    <xf numFmtId="173" fontId="2" fillId="5" borderId="29" xfId="0" applyNumberFormat="1" applyFont="1" applyFill="1" applyBorder="1" applyAlignment="1" applyProtection="1">
      <alignment vertical="center"/>
      <protection hidden="1"/>
    </xf>
    <xf numFmtId="175" fontId="43" fillId="10" borderId="51" xfId="0" applyNumberFormat="1" applyFont="1" applyFill="1" applyBorder="1" applyAlignment="1" applyProtection="1">
      <alignment vertical="center"/>
      <protection hidden="1"/>
    </xf>
    <xf numFmtId="175" fontId="43" fillId="10" borderId="3" xfId="0" applyNumberFormat="1" applyFont="1" applyFill="1" applyBorder="1" applyAlignment="1" applyProtection="1">
      <alignment vertical="center"/>
      <protection hidden="1"/>
    </xf>
    <xf numFmtId="0" fontId="9" fillId="5" borderId="9" xfId="0" applyFont="1" applyFill="1" applyBorder="1" applyAlignment="1" applyProtection="1">
      <alignment horizontal="center" vertical="center"/>
      <protection locked="0"/>
    </xf>
    <xf numFmtId="175" fontId="44" fillId="5" borderId="14" xfId="0" applyNumberFormat="1" applyFont="1" applyFill="1" applyBorder="1" applyAlignment="1" applyProtection="1">
      <alignment vertical="center"/>
      <protection hidden="1"/>
    </xf>
    <xf numFmtId="175" fontId="27" fillId="5" borderId="7" xfId="0" applyNumberFormat="1" applyFont="1" applyFill="1" applyBorder="1" applyAlignment="1" applyProtection="1">
      <alignment vertical="center"/>
      <protection hidden="1"/>
    </xf>
    <xf numFmtId="175" fontId="28" fillId="5" borderId="8" xfId="0" applyNumberFormat="1" applyFont="1" applyFill="1" applyBorder="1" applyAlignment="1" applyProtection="1">
      <alignment vertical="center"/>
      <protection hidden="1"/>
    </xf>
    <xf numFmtId="175" fontId="43" fillId="5" borderId="11" xfId="0" applyNumberFormat="1" applyFont="1" applyFill="1" applyBorder="1" applyAlignment="1" applyProtection="1">
      <alignment vertical="center"/>
      <protection hidden="1"/>
    </xf>
    <xf numFmtId="175" fontId="44" fillId="7" borderId="15" xfId="0" applyNumberFormat="1" applyFont="1" applyFill="1" applyBorder="1" applyAlignment="1" applyProtection="1">
      <alignment vertical="center"/>
      <protection hidden="1"/>
    </xf>
    <xf numFmtId="175" fontId="27" fillId="7" borderId="9" xfId="0" applyNumberFormat="1" applyFont="1" applyFill="1" applyBorder="1" applyAlignment="1" applyProtection="1">
      <alignment vertical="center"/>
      <protection hidden="1"/>
    </xf>
    <xf numFmtId="175" fontId="28" fillId="7" borderId="10" xfId="0" applyNumberFormat="1" applyFont="1" applyFill="1" applyBorder="1" applyAlignment="1" applyProtection="1">
      <alignment vertical="center"/>
      <protection hidden="1"/>
    </xf>
    <xf numFmtId="175" fontId="43" fillId="7" borderId="12" xfId="0" applyNumberFormat="1" applyFont="1" applyFill="1" applyBorder="1" applyAlignment="1" applyProtection="1">
      <alignment vertical="center"/>
      <protection hidden="1"/>
    </xf>
    <xf numFmtId="175" fontId="44" fillId="5" borderId="15" xfId="0" applyNumberFormat="1" applyFont="1" applyFill="1" applyBorder="1" applyAlignment="1" applyProtection="1">
      <alignment vertical="center"/>
      <protection hidden="1"/>
    </xf>
    <xf numFmtId="175" fontId="27" fillId="5" borderId="9" xfId="0" applyNumberFormat="1" applyFont="1" applyFill="1" applyBorder="1" applyAlignment="1" applyProtection="1">
      <alignment vertical="center"/>
      <protection hidden="1"/>
    </xf>
    <xf numFmtId="175" fontId="28" fillId="5" borderId="10" xfId="0" applyNumberFormat="1" applyFont="1" applyFill="1" applyBorder="1" applyAlignment="1" applyProtection="1">
      <alignment vertical="center"/>
      <protection hidden="1"/>
    </xf>
    <xf numFmtId="175" fontId="43" fillId="5" borderId="12" xfId="0" applyNumberFormat="1" applyFont="1" applyFill="1" applyBorder="1" applyAlignment="1" applyProtection="1">
      <alignment vertical="center"/>
      <protection hidden="1"/>
    </xf>
    <xf numFmtId="175" fontId="44" fillId="7" borderId="16" xfId="0" applyNumberFormat="1" applyFont="1" applyFill="1" applyBorder="1" applyAlignment="1" applyProtection="1">
      <alignment vertical="center"/>
      <protection hidden="1"/>
    </xf>
    <xf numFmtId="175" fontId="27" fillId="7" borderId="5" xfId="0" applyNumberFormat="1" applyFont="1" applyFill="1" applyBorder="1" applyAlignment="1" applyProtection="1">
      <alignment vertical="center"/>
      <protection hidden="1"/>
    </xf>
    <xf numFmtId="175" fontId="28" fillId="7" borderId="6" xfId="0" applyNumberFormat="1" applyFont="1" applyFill="1" applyBorder="1" applyAlignment="1" applyProtection="1">
      <alignment vertical="center"/>
      <protection hidden="1"/>
    </xf>
    <xf numFmtId="175" fontId="43" fillId="7" borderId="13" xfId="0" applyNumberFormat="1" applyFont="1" applyFill="1" applyBorder="1" applyAlignment="1" applyProtection="1">
      <alignment vertical="center"/>
      <protection hidden="1"/>
    </xf>
    <xf numFmtId="0" fontId="38" fillId="2" borderId="0" xfId="0" applyFont="1" applyFill="1" applyAlignment="1" applyProtection="1">
      <alignment horizontal="left"/>
      <protection hidden="1"/>
    </xf>
    <xf numFmtId="0" fontId="59" fillId="5" borderId="18" xfId="0" applyFont="1" applyFill="1" applyBorder="1" applyAlignment="1" applyProtection="1">
      <alignment vertical="center"/>
      <protection hidden="1"/>
    </xf>
    <xf numFmtId="0" fontId="0" fillId="6" borderId="0" xfId="0" applyFill="1" applyBorder="1" applyAlignment="1" applyProtection="1">
      <alignment/>
      <protection hidden="1"/>
    </xf>
    <xf numFmtId="0" fontId="9" fillId="11" borderId="41" xfId="0" applyFont="1" applyFill="1" applyBorder="1" applyAlignment="1" applyProtection="1">
      <alignment vertical="center"/>
      <protection hidden="1"/>
    </xf>
    <xf numFmtId="0" fontId="0" fillId="6" borderId="18" xfId="0" applyFont="1" applyFill="1" applyBorder="1" applyAlignment="1" applyProtection="1">
      <alignment/>
      <protection hidden="1"/>
    </xf>
    <xf numFmtId="0" fontId="0" fillId="6" borderId="27" xfId="0" applyFont="1" applyFill="1" applyBorder="1" applyAlignment="1" applyProtection="1">
      <alignment/>
      <protection hidden="1"/>
    </xf>
    <xf numFmtId="0" fontId="0" fillId="6" borderId="20" xfId="0" applyFont="1" applyFill="1" applyBorder="1" applyAlignment="1" applyProtection="1">
      <alignment/>
      <protection hidden="1"/>
    </xf>
    <xf numFmtId="0" fontId="0" fillId="6" borderId="25" xfId="0" applyFont="1" applyFill="1" applyBorder="1" applyAlignment="1" applyProtection="1">
      <alignment/>
      <protection hidden="1"/>
    </xf>
    <xf numFmtId="0" fontId="0" fillId="6" borderId="26" xfId="0" applyFont="1" applyFill="1" applyBorder="1" applyAlignment="1" applyProtection="1">
      <alignment/>
      <protection hidden="1"/>
    </xf>
    <xf numFmtId="0" fontId="0" fillId="6" borderId="0" xfId="0" applyFont="1" applyFill="1" applyBorder="1" applyAlignment="1" applyProtection="1">
      <alignment/>
      <protection hidden="1"/>
    </xf>
    <xf numFmtId="0" fontId="0" fillId="6" borderId="30" xfId="0" applyFont="1" applyFill="1" applyBorder="1" applyAlignment="1" applyProtection="1">
      <alignment/>
      <protection hidden="1"/>
    </xf>
    <xf numFmtId="0" fontId="0" fillId="6" borderId="19" xfId="0" applyFont="1" applyFill="1" applyBorder="1" applyAlignment="1" applyProtection="1">
      <alignment/>
      <protection hidden="1"/>
    </xf>
    <xf numFmtId="0" fontId="0" fillId="6" borderId="25" xfId="0" applyFill="1" applyBorder="1" applyAlignment="1" applyProtection="1">
      <alignment/>
      <protection hidden="1"/>
    </xf>
    <xf numFmtId="0" fontId="0" fillId="6" borderId="57" xfId="0" applyFont="1" applyFill="1" applyBorder="1" applyAlignment="1" applyProtection="1">
      <alignment/>
      <protection hidden="1"/>
    </xf>
    <xf numFmtId="0" fontId="0" fillId="8" borderId="2" xfId="0" applyFill="1" applyBorder="1" applyAlignment="1" applyProtection="1">
      <alignment/>
      <protection hidden="1"/>
    </xf>
    <xf numFmtId="0" fontId="60" fillId="6" borderId="0" xfId="0" applyFont="1" applyFill="1" applyBorder="1" applyAlignment="1" applyProtection="1">
      <alignment vertical="center"/>
      <protection hidden="1"/>
    </xf>
    <xf numFmtId="0" fontId="61" fillId="6" borderId="0" xfId="0" applyFont="1" applyFill="1" applyBorder="1" applyAlignment="1" applyProtection="1">
      <alignment vertical="center"/>
      <protection hidden="1"/>
    </xf>
    <xf numFmtId="0" fontId="63" fillId="10" borderId="41" xfId="0" applyFont="1" applyFill="1" applyBorder="1" applyAlignment="1" applyProtection="1">
      <alignment vertical="center"/>
      <protection hidden="1"/>
    </xf>
    <xf numFmtId="0" fontId="64" fillId="7" borderId="17" xfId="0" applyFont="1" applyFill="1" applyBorder="1" applyAlignment="1" applyProtection="1">
      <alignment vertical="center"/>
      <protection hidden="1"/>
    </xf>
    <xf numFmtId="0" fontId="0" fillId="6" borderId="25" xfId="0" applyFont="1" applyFill="1" applyBorder="1" applyAlignment="1" applyProtection="1" quotePrefix="1">
      <alignment/>
      <protection hidden="1"/>
    </xf>
    <xf numFmtId="0" fontId="0" fillId="5" borderId="0" xfId="0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58" fillId="12" borderId="58" xfId="0" applyFont="1" applyFill="1" applyBorder="1" applyAlignment="1" applyProtection="1">
      <alignment vertical="center"/>
      <protection hidden="1"/>
    </xf>
    <xf numFmtId="0" fontId="3" fillId="4" borderId="18" xfId="0" applyFont="1" applyFill="1" applyBorder="1" applyAlignment="1" applyProtection="1">
      <alignment vertical="center"/>
      <protection hidden="1"/>
    </xf>
    <xf numFmtId="0" fontId="0" fillId="6" borderId="25" xfId="0" applyFont="1" applyFill="1" applyBorder="1" applyAlignment="1" applyProtection="1">
      <alignment horizontal="center" vertical="top"/>
      <protection hidden="1"/>
    </xf>
    <xf numFmtId="0" fontId="10" fillId="2" borderId="0" xfId="0" applyFont="1" applyFill="1" applyAlignment="1" applyProtection="1">
      <alignment/>
      <protection hidden="1"/>
    </xf>
    <xf numFmtId="0" fontId="49" fillId="2" borderId="0" xfId="0" applyFont="1" applyFill="1" applyAlignment="1" applyProtection="1">
      <alignment/>
      <protection hidden="1"/>
    </xf>
    <xf numFmtId="3" fontId="2" fillId="5" borderId="9" xfId="0" applyNumberFormat="1" applyFont="1" applyFill="1" applyBorder="1" applyAlignment="1" applyProtection="1">
      <alignment/>
      <protection hidden="1"/>
    </xf>
    <xf numFmtId="0" fontId="0" fillId="3" borderId="59" xfId="0" applyFill="1" applyBorder="1" applyAlignment="1" applyProtection="1">
      <alignment/>
      <protection hidden="1"/>
    </xf>
    <xf numFmtId="0" fontId="0" fillId="3" borderId="41" xfId="0" applyFill="1" applyBorder="1" applyAlignment="1" applyProtection="1">
      <alignment/>
      <protection hidden="1"/>
    </xf>
    <xf numFmtId="0" fontId="3" fillId="3" borderId="47" xfId="0" applyFont="1" applyFill="1" applyBorder="1" applyAlignment="1" applyProtection="1">
      <alignment/>
      <protection hidden="1"/>
    </xf>
    <xf numFmtId="0" fontId="3" fillId="5" borderId="0" xfId="0" applyFont="1" applyFill="1" applyAlignment="1" applyProtection="1">
      <alignment/>
      <protection hidden="1"/>
    </xf>
    <xf numFmtId="0" fontId="3" fillId="7" borderId="0" xfId="0" applyFont="1" applyFill="1" applyAlignment="1" applyProtection="1">
      <alignment/>
      <protection hidden="1"/>
    </xf>
    <xf numFmtId="3" fontId="2" fillId="7" borderId="9" xfId="0" applyNumberFormat="1" applyFont="1" applyFill="1" applyBorder="1" applyAlignment="1" applyProtection="1">
      <alignment/>
      <protection hidden="1"/>
    </xf>
    <xf numFmtId="0" fontId="17" fillId="4" borderId="49" xfId="0" applyFont="1" applyFill="1" applyBorder="1" applyAlignment="1" applyProtection="1">
      <alignment horizontal="center"/>
      <protection hidden="1"/>
    </xf>
    <xf numFmtId="0" fontId="4" fillId="5" borderId="0" xfId="0" applyFont="1" applyFill="1" applyBorder="1" applyAlignment="1" applyProtection="1">
      <alignment vertical="center"/>
      <protection hidden="1"/>
    </xf>
    <xf numFmtId="0" fontId="52" fillId="6" borderId="18" xfId="0" applyFont="1" applyFill="1" applyBorder="1" applyAlignment="1" applyProtection="1">
      <alignment horizontal="right" vertical="center"/>
      <protection hidden="1"/>
    </xf>
    <xf numFmtId="0" fontId="68" fillId="0" borderId="0" xfId="0" applyFont="1" applyFill="1" applyAlignment="1" applyProtection="1">
      <alignment/>
      <protection hidden="1"/>
    </xf>
    <xf numFmtId="3" fontId="66" fillId="13" borderId="9" xfId="0" applyNumberFormat="1" applyFont="1" applyFill="1" applyBorder="1" applyAlignment="1" applyProtection="1">
      <alignment horizontal="center" vertical="center"/>
      <protection locked="0"/>
    </xf>
    <xf numFmtId="3" fontId="69" fillId="14" borderId="9" xfId="0" applyNumberFormat="1" applyFont="1" applyFill="1" applyBorder="1" applyAlignment="1" applyProtection="1">
      <alignment horizontal="center" vertical="center"/>
      <protection locked="0"/>
    </xf>
    <xf numFmtId="0" fontId="72" fillId="6" borderId="0" xfId="0" applyFont="1" applyFill="1" applyBorder="1" applyAlignment="1" applyProtection="1">
      <alignment vertical="center"/>
      <protection hidden="1"/>
    </xf>
    <xf numFmtId="0" fontId="74" fillId="15" borderId="41" xfId="0" applyFont="1" applyFill="1" applyBorder="1" applyAlignment="1" applyProtection="1">
      <alignment vertical="center"/>
      <protection hidden="1"/>
    </xf>
    <xf numFmtId="0" fontId="77" fillId="2" borderId="0" xfId="0" applyFont="1" applyFill="1" applyAlignment="1" applyProtection="1">
      <alignment horizontal="right" vertical="center"/>
      <protection hidden="1"/>
    </xf>
    <xf numFmtId="0" fontId="10" fillId="4" borderId="52" xfId="0" applyFont="1" applyFill="1" applyBorder="1" applyAlignment="1" applyProtection="1">
      <alignment horizontal="center"/>
      <protection hidden="1"/>
    </xf>
    <xf numFmtId="0" fontId="49" fillId="4" borderId="52" xfId="0" applyFont="1" applyFill="1" applyBorder="1" applyAlignment="1" applyProtection="1">
      <alignment horizontal="center"/>
      <protection hidden="1"/>
    </xf>
    <xf numFmtId="0" fontId="0" fillId="7" borderId="0" xfId="0" applyFill="1" applyAlignment="1" applyProtection="1">
      <alignment horizontal="center"/>
      <protection hidden="1"/>
    </xf>
    <xf numFmtId="0" fontId="82" fillId="6" borderId="0" xfId="0" applyFont="1" applyFill="1" applyBorder="1" applyAlignment="1" applyProtection="1">
      <alignment/>
      <protection hidden="1"/>
    </xf>
    <xf numFmtId="0" fontId="70" fillId="6" borderId="0" xfId="0" applyFont="1" applyFill="1" applyBorder="1" applyAlignment="1" applyProtection="1">
      <alignment/>
      <protection hidden="1"/>
    </xf>
    <xf numFmtId="0" fontId="7" fillId="6" borderId="0" xfId="0" applyFont="1" applyFill="1" applyBorder="1" applyAlignment="1" applyProtection="1">
      <alignment/>
      <protection hidden="1"/>
    </xf>
    <xf numFmtId="0" fontId="75" fillId="6" borderId="0" xfId="0" applyFont="1" applyFill="1" applyBorder="1" applyAlignment="1" applyProtection="1">
      <alignment vertical="top"/>
      <protection hidden="1"/>
    </xf>
    <xf numFmtId="0" fontId="52" fillId="6" borderId="0" xfId="0" applyFont="1" applyFill="1" applyBorder="1" applyAlignment="1" applyProtection="1">
      <alignment horizontal="right" vertical="center"/>
      <protection hidden="1"/>
    </xf>
    <xf numFmtId="3" fontId="69" fillId="16" borderId="9" xfId="0" applyNumberFormat="1" applyFont="1" applyFill="1" applyBorder="1" applyAlignment="1" applyProtection="1">
      <alignment horizontal="center" vertical="center"/>
      <protection locked="0"/>
    </xf>
    <xf numFmtId="4" fontId="2" fillId="5" borderId="9" xfId="0" applyNumberFormat="1" applyFont="1" applyFill="1" applyBorder="1" applyAlignment="1" applyProtection="1">
      <alignment horizontal="right"/>
      <protection hidden="1"/>
    </xf>
    <xf numFmtId="4" fontId="2" fillId="7" borderId="9" xfId="0" applyNumberFormat="1" applyFont="1" applyFill="1" applyBorder="1" applyAlignment="1" applyProtection="1">
      <alignment horizontal="right"/>
      <protection hidden="1"/>
    </xf>
    <xf numFmtId="0" fontId="17" fillId="6" borderId="0" xfId="0" applyFont="1" applyFill="1" applyBorder="1" applyAlignment="1" applyProtection="1">
      <alignment/>
      <protection hidden="1"/>
    </xf>
    <xf numFmtId="0" fontId="88" fillId="5" borderId="0" xfId="0" applyFont="1" applyFill="1" applyBorder="1" applyAlignment="1" applyProtection="1">
      <alignment vertical="center"/>
      <protection hidden="1"/>
    </xf>
    <xf numFmtId="0" fontId="9" fillId="17" borderId="58" xfId="0" applyFont="1" applyFill="1" applyBorder="1" applyAlignment="1" applyProtection="1">
      <alignment vertical="center"/>
      <protection hidden="1"/>
    </xf>
    <xf numFmtId="0" fontId="95" fillId="6" borderId="0" xfId="0" applyFont="1" applyFill="1" applyBorder="1" applyAlignment="1" applyProtection="1">
      <alignment horizontal="right" vertical="center"/>
      <protection hidden="1"/>
    </xf>
    <xf numFmtId="0" fontId="0" fillId="6" borderId="17" xfId="0" applyFont="1" applyFill="1" applyBorder="1" applyAlignment="1" applyProtection="1">
      <alignment/>
      <protection hidden="1"/>
    </xf>
    <xf numFmtId="0" fontId="0" fillId="6" borderId="0" xfId="0" applyFont="1" applyFill="1" applyBorder="1" applyAlignment="1" applyProtection="1">
      <alignment horizontal="center" vertical="top"/>
      <protection hidden="1"/>
    </xf>
    <xf numFmtId="0" fontId="81" fillId="4" borderId="0" xfId="0" applyFont="1" applyFill="1" applyBorder="1" applyAlignment="1" applyProtection="1">
      <alignment horizontal="center"/>
      <protection hidden="1"/>
    </xf>
    <xf numFmtId="0" fontId="3" fillId="4" borderId="17" xfId="0" applyFont="1" applyFill="1" applyBorder="1" applyAlignment="1" applyProtection="1">
      <alignment vertical="center"/>
      <protection hidden="1"/>
    </xf>
    <xf numFmtId="0" fontId="0" fillId="4" borderId="25" xfId="0" applyFont="1" applyFill="1" applyBorder="1" applyAlignment="1" applyProtection="1">
      <alignment/>
      <protection hidden="1"/>
    </xf>
    <xf numFmtId="0" fontId="58" fillId="18" borderId="58" xfId="0" applyFont="1" applyFill="1" applyBorder="1" applyAlignment="1" applyProtection="1">
      <alignment vertical="center"/>
      <protection hidden="1"/>
    </xf>
    <xf numFmtId="0" fontId="86" fillId="19" borderId="29" xfId="0" applyFont="1" applyFill="1" applyBorder="1" applyAlignment="1" applyProtection="1">
      <alignment horizontal="center" vertical="center"/>
      <protection hidden="1" locked="0"/>
    </xf>
    <xf numFmtId="0" fontId="0" fillId="9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87" fillId="8" borderId="0" xfId="0" applyFont="1" applyFill="1" applyBorder="1" applyAlignment="1" applyProtection="1">
      <alignment horizontal="right"/>
      <protection hidden="1"/>
    </xf>
    <xf numFmtId="0" fontId="0" fillId="9" borderId="60" xfId="0" applyFont="1" applyFill="1" applyBorder="1" applyAlignment="1" applyProtection="1">
      <alignment/>
      <protection hidden="1"/>
    </xf>
    <xf numFmtId="0" fontId="0" fillId="9" borderId="61" xfId="0" applyFill="1" applyBorder="1" applyAlignment="1" applyProtection="1">
      <alignment/>
      <protection hidden="1"/>
    </xf>
    <xf numFmtId="0" fontId="0" fillId="9" borderId="62" xfId="0" applyFill="1" applyBorder="1" applyAlignment="1" applyProtection="1">
      <alignment/>
      <protection hidden="1"/>
    </xf>
    <xf numFmtId="0" fontId="0" fillId="9" borderId="63" xfId="0" applyFont="1" applyFill="1" applyBorder="1" applyAlignment="1" applyProtection="1">
      <alignment/>
      <protection hidden="1"/>
    </xf>
    <xf numFmtId="0" fontId="0" fillId="9" borderId="64" xfId="0" applyFill="1" applyBorder="1" applyAlignment="1" applyProtection="1">
      <alignment/>
      <protection hidden="1"/>
    </xf>
    <xf numFmtId="0" fontId="0" fillId="9" borderId="65" xfId="0" applyFont="1" applyFill="1" applyBorder="1" applyAlignment="1" applyProtection="1">
      <alignment/>
      <protection hidden="1"/>
    </xf>
    <xf numFmtId="0" fontId="0" fillId="9" borderId="66" xfId="0" applyFill="1" applyBorder="1" applyAlignment="1" applyProtection="1">
      <alignment/>
      <protection hidden="1"/>
    </xf>
    <xf numFmtId="0" fontId="0" fillId="9" borderId="67" xfId="0" applyFill="1" applyBorder="1" applyAlignment="1" applyProtection="1">
      <alignment/>
      <protection hidden="1"/>
    </xf>
    <xf numFmtId="0" fontId="0" fillId="8" borderId="63" xfId="0" applyFont="1" applyFill="1" applyBorder="1" applyAlignment="1" applyProtection="1">
      <alignment/>
      <protection hidden="1"/>
    </xf>
    <xf numFmtId="0" fontId="0" fillId="8" borderId="64" xfId="0" applyFill="1" applyBorder="1" applyAlignment="1" applyProtection="1">
      <alignment/>
      <protection hidden="1"/>
    </xf>
    <xf numFmtId="0" fontId="0" fillId="8" borderId="64" xfId="0" applyFill="1" applyBorder="1" applyAlignment="1" applyProtection="1">
      <alignment/>
      <protection hidden="1"/>
    </xf>
    <xf numFmtId="0" fontId="0" fillId="8" borderId="65" xfId="0" applyFont="1" applyFill="1" applyBorder="1" applyAlignment="1" applyProtection="1">
      <alignment/>
      <protection hidden="1"/>
    </xf>
    <xf numFmtId="0" fontId="0" fillId="8" borderId="66" xfId="0" applyFont="1" applyFill="1" applyBorder="1" applyAlignment="1" applyProtection="1">
      <alignment/>
      <protection hidden="1"/>
    </xf>
    <xf numFmtId="0" fontId="0" fillId="8" borderId="66" xfId="0" applyFill="1" applyBorder="1" applyAlignment="1" applyProtection="1">
      <alignment/>
      <protection hidden="1"/>
    </xf>
    <xf numFmtId="0" fontId="76" fillId="8" borderId="66" xfId="0" applyFont="1" applyFill="1" applyBorder="1" applyAlignment="1" applyProtection="1">
      <alignment horizontal="right" vertical="center"/>
      <protection hidden="1"/>
    </xf>
    <xf numFmtId="0" fontId="0" fillId="8" borderId="67" xfId="0" applyFill="1" applyBorder="1" applyAlignment="1" applyProtection="1">
      <alignment/>
      <protection hidden="1"/>
    </xf>
    <xf numFmtId="175" fontId="63" fillId="10" borderId="47" xfId="0" applyNumberFormat="1" applyFont="1" applyFill="1" applyBorder="1" applyAlignment="1" applyProtection="1">
      <alignment vertical="center"/>
      <protection hidden="1"/>
    </xf>
    <xf numFmtId="175" fontId="63" fillId="10" borderId="59" xfId="0" applyNumberFormat="1" applyFont="1" applyFill="1" applyBorder="1" applyAlignment="1" applyProtection="1">
      <alignment vertical="center"/>
      <protection hidden="1"/>
    </xf>
    <xf numFmtId="175" fontId="74" fillId="15" borderId="47" xfId="0" applyNumberFormat="1" applyFont="1" applyFill="1" applyBorder="1" applyAlignment="1" applyProtection="1">
      <alignment vertical="center"/>
      <protection hidden="1"/>
    </xf>
    <xf numFmtId="175" fontId="74" fillId="15" borderId="59" xfId="0" applyNumberFormat="1" applyFont="1" applyFill="1" applyBorder="1" applyAlignment="1" applyProtection="1">
      <alignment vertical="center"/>
      <protection hidden="1"/>
    </xf>
    <xf numFmtId="175" fontId="9" fillId="11" borderId="47" xfId="0" applyNumberFormat="1" applyFont="1" applyFill="1" applyBorder="1" applyAlignment="1" applyProtection="1">
      <alignment vertical="center"/>
      <protection hidden="1"/>
    </xf>
    <xf numFmtId="0" fontId="9" fillId="11" borderId="59" xfId="0" applyFont="1" applyFill="1" applyBorder="1" applyAlignment="1" applyProtection="1">
      <alignment vertical="center"/>
      <protection hidden="1"/>
    </xf>
    <xf numFmtId="4" fontId="0" fillId="5" borderId="0" xfId="0" applyNumberFormat="1" applyFill="1" applyAlignment="1" applyProtection="1">
      <alignment horizontal="left"/>
      <protection hidden="1"/>
    </xf>
    <xf numFmtId="4" fontId="0" fillId="7" borderId="0" xfId="0" applyNumberFormat="1" applyFill="1" applyAlignment="1" applyProtection="1">
      <alignment horizontal="left"/>
      <protection hidden="1"/>
    </xf>
    <xf numFmtId="175" fontId="58" fillId="12" borderId="68" xfId="0" applyNumberFormat="1" applyFont="1" applyFill="1" applyBorder="1" applyAlignment="1" applyProtection="1">
      <alignment vertical="center"/>
      <protection hidden="1"/>
    </xf>
    <xf numFmtId="175" fontId="58" fillId="12" borderId="69" xfId="0" applyNumberFormat="1" applyFont="1" applyFill="1" applyBorder="1" applyAlignment="1" applyProtection="1">
      <alignment vertical="center"/>
      <protection hidden="1"/>
    </xf>
    <xf numFmtId="175" fontId="9" fillId="11" borderId="59" xfId="0" applyNumberFormat="1" applyFont="1" applyFill="1" applyBorder="1" applyAlignment="1" applyProtection="1">
      <alignment vertical="center"/>
      <protection hidden="1"/>
    </xf>
    <xf numFmtId="175" fontId="9" fillId="17" borderId="68" xfId="0" applyNumberFormat="1" applyFont="1" applyFill="1" applyBorder="1" applyAlignment="1" applyProtection="1">
      <alignment vertical="center"/>
      <protection hidden="1"/>
    </xf>
    <xf numFmtId="175" fontId="9" fillId="17" borderId="69" xfId="0" applyNumberFormat="1" applyFont="1" applyFill="1" applyBorder="1" applyAlignment="1" applyProtection="1">
      <alignment vertical="center"/>
      <protection hidden="1"/>
    </xf>
    <xf numFmtId="175" fontId="58" fillId="18" borderId="68" xfId="0" applyNumberFormat="1" applyFont="1" applyFill="1" applyBorder="1" applyAlignment="1" applyProtection="1">
      <alignment vertical="center"/>
      <protection hidden="1"/>
    </xf>
    <xf numFmtId="175" fontId="58" fillId="18" borderId="69" xfId="0" applyNumberFormat="1" applyFont="1" applyFill="1" applyBorder="1" applyAlignment="1" applyProtection="1">
      <alignment vertical="center"/>
      <protection hidden="1"/>
    </xf>
    <xf numFmtId="0" fontId="10" fillId="4" borderId="70" xfId="0" applyFont="1" applyFill="1" applyBorder="1" applyAlignment="1" applyProtection="1">
      <alignment horizontal="center"/>
      <protection hidden="1"/>
    </xf>
    <xf numFmtId="0" fontId="10" fillId="4" borderId="71" xfId="0" applyFont="1" applyFill="1" applyBorder="1" applyAlignment="1" applyProtection="1">
      <alignment horizontal="center"/>
      <protection hidden="1"/>
    </xf>
    <xf numFmtId="0" fontId="17" fillId="4" borderId="50" xfId="0" applyFont="1" applyFill="1" applyBorder="1" applyAlignment="1" applyProtection="1">
      <alignment horizontal="center"/>
      <protection hidden="1"/>
    </xf>
    <xf numFmtId="0" fontId="17" fillId="4" borderId="54" xfId="0" applyFont="1" applyFill="1" applyBorder="1" applyAlignment="1" applyProtection="1">
      <alignment horizontal="center"/>
      <protection hidden="1"/>
    </xf>
    <xf numFmtId="4" fontId="2" fillId="5" borderId="47" xfId="0" applyNumberFormat="1" applyFont="1" applyFill="1" applyBorder="1" applyAlignment="1" applyProtection="1">
      <alignment horizontal="right" wrapText="1"/>
      <protection hidden="1"/>
    </xf>
    <xf numFmtId="4" fontId="2" fillId="5" borderId="41" xfId="0" applyNumberFormat="1" applyFont="1" applyFill="1" applyBorder="1" applyAlignment="1" applyProtection="1">
      <alignment horizontal="right"/>
      <protection hidden="1"/>
    </xf>
    <xf numFmtId="4" fontId="2" fillId="7" borderId="47" xfId="0" applyNumberFormat="1" applyFont="1" applyFill="1" applyBorder="1" applyAlignment="1" applyProtection="1">
      <alignment horizontal="right"/>
      <protection hidden="1"/>
    </xf>
    <xf numFmtId="4" fontId="2" fillId="7" borderId="41" xfId="0" applyNumberFormat="1" applyFont="1" applyFill="1" applyBorder="1" applyAlignment="1" applyProtection="1">
      <alignment horizontal="right"/>
      <protection hidden="1"/>
    </xf>
    <xf numFmtId="0" fontId="16" fillId="2" borderId="0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34" fillId="13" borderId="1" xfId="0" applyFont="1" applyFill="1" applyBorder="1" applyAlignment="1" applyProtection="1">
      <alignment horizontal="center"/>
      <protection hidden="1"/>
    </xf>
    <xf numFmtId="0" fontId="34" fillId="13" borderId="2" xfId="0" applyFont="1" applyFill="1" applyBorder="1" applyAlignment="1" applyProtection="1">
      <alignment horizontal="center"/>
      <protection hidden="1"/>
    </xf>
    <xf numFmtId="0" fontId="34" fillId="13" borderId="3" xfId="0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 horizontal="left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9">
    <dxf>
      <font>
        <color rgb="FF333399"/>
      </font>
      <border/>
    </dxf>
    <dxf>
      <font>
        <color rgb="FF33CCCC"/>
      </font>
      <border/>
    </dxf>
    <dxf>
      <font>
        <b/>
        <i/>
        <color rgb="FF0066CC"/>
      </font>
      <border/>
    </dxf>
    <dxf>
      <fill>
        <patternFill>
          <bgColor rgb="FFFFFFCC"/>
        </patternFill>
      </fill>
      <border/>
    </dxf>
    <dxf>
      <font>
        <color rgb="FF3366FF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3366FF"/>
        </patternFill>
      </fill>
      <border/>
    </dxf>
    <dxf>
      <font>
        <color rgb="FF339966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0000FF"/>
      </font>
      <fill>
        <patternFill>
          <bgColor rgb="FFFFCC00"/>
        </patternFill>
      </fill>
      <border/>
    </dxf>
    <dxf>
      <font>
        <b/>
        <i val="0"/>
        <color rgb="FF808080"/>
      </font>
      <fill>
        <patternFill>
          <bgColor rgb="FFFFCC00"/>
        </patternFill>
      </fill>
      <border/>
    </dxf>
    <dxf>
      <font>
        <b val="0"/>
        <i val="0"/>
        <color rgb="FF0000FF"/>
      </font>
      <fill>
        <patternFill>
          <bgColor rgb="FFFFCC00"/>
        </patternFill>
      </fill>
      <border/>
    </dxf>
    <dxf>
      <font>
        <b/>
        <i val="0"/>
        <color rgb="FFFF0000"/>
      </font>
      <border/>
    </dxf>
    <dxf>
      <font>
        <b/>
        <i val="0"/>
        <color rgb="FF808080"/>
      </font>
      <border/>
    </dxf>
    <dxf>
      <font>
        <color rgb="FF0000FF"/>
      </font>
      <fill>
        <patternFill patternType="gray0625">
          <fgColor rgb="FFFFFFFF"/>
          <bgColor rgb="FFCC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>
          <bgColor rgb="FFFF0000"/>
        </patternFill>
      </fill>
      <border/>
    </dxf>
    <dxf>
      <font>
        <color rgb="FF339966"/>
      </font>
      <fill>
        <patternFill patternType="gray0625">
          <fgColor rgb="FFFFFFFF"/>
          <bgColor rgb="FFCCCCFF"/>
        </patternFill>
      </fill>
      <border/>
    </dxf>
    <dxf>
      <font>
        <color rgb="FF993366"/>
      </font>
      <fill>
        <patternFill patternType="gray0625">
          <fgColor rgb="FFFFFFFF"/>
          <bgColor rgb="FFCCCCFF"/>
        </patternFill>
      </fill>
      <border/>
    </dxf>
    <dxf>
      <font>
        <color auto="1"/>
      </font>
      <fill>
        <patternFill patternType="gray0625">
          <fgColor rgb="FFFFFFFF"/>
        </patternFill>
      </fill>
      <border/>
    </dxf>
    <dxf>
      <fill>
        <patternFill>
          <bgColor rgb="FFFFFF99"/>
        </patternFill>
      </fill>
      <border/>
    </dxf>
    <dxf>
      <font>
        <color auto="1"/>
      </font>
      <fill>
        <patternFill patternType="gray0625">
          <fgColor rgb="FFFFFFFF"/>
          <bgColor rgb="FF00CCFF"/>
        </patternFill>
      </fill>
      <border/>
    </dxf>
    <dxf>
      <font>
        <color auto="1"/>
      </font>
      <fill>
        <patternFill patternType="gray0625">
          <fgColor rgb="FFFFFFFF"/>
          <bgColor rgb="FF339966"/>
        </patternFill>
      </fill>
      <border/>
    </dxf>
    <dxf>
      <fill>
        <patternFill patternType="gray125">
          <fgColor rgb="FFFFFFFF"/>
        </patternFill>
      </fill>
      <border/>
    </dxf>
    <dxf>
      <fill>
        <patternFill patternType="gray125">
          <fgColor rgb="FF9999FF"/>
        </patternFill>
      </fill>
      <border/>
    </dxf>
    <dxf>
      <fill>
        <patternFill patternType="gray125">
          <fgColor rgb="FF0000FF"/>
        </patternFill>
      </fill>
      <border/>
    </dxf>
    <dxf>
      <font>
        <color rgb="FFFFFFFF"/>
      </font>
      <fill>
        <patternFill>
          <bgColor rgb="FF0066CC"/>
        </patternFill>
      </fill>
      <border/>
    </dxf>
    <dxf>
      <fill>
        <patternFill patternType="gray0625">
          <fgColor rgb="FFFFFFFF"/>
          <bgColor rgb="FF33CCCC"/>
        </patternFill>
      </fill>
      <border/>
    </dxf>
    <dxf>
      <font>
        <color rgb="FF008080"/>
      </font>
      <fill>
        <patternFill>
          <bgColor rgb="FFFF99CC"/>
        </patternFill>
      </fill>
      <border/>
    </dxf>
    <dxf>
      <font>
        <color rgb="FF00808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0</xdr:rowOff>
    </xdr:to>
    <xdr:pic>
      <xdr:nvPicPr>
        <xdr:cNvPr id="1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361950</xdr:colOff>
      <xdr:row>1</xdr:row>
      <xdr:rowOff>0</xdr:rowOff>
    </xdr:from>
    <xdr:to>
      <xdr:col>22</xdr:col>
      <xdr:colOff>0</xdr:colOff>
      <xdr:row>7</xdr:row>
      <xdr:rowOff>0</xdr:rowOff>
    </xdr:to>
    <xdr:pic>
      <xdr:nvPicPr>
        <xdr:cNvPr id="2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9050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1" sqref="I21"/>
    </sheetView>
  </sheetViews>
  <sheetFormatPr defaultColWidth="9.140625" defaultRowHeight="12.75" customHeight="1" zeroHeight="1"/>
  <cols>
    <col min="1" max="2" width="2.7109375" style="2" customWidth="1"/>
    <col min="3" max="3" width="2.8515625" style="2" customWidth="1"/>
    <col min="4" max="4" width="4.7109375" style="2" customWidth="1"/>
    <col min="5" max="9" width="8.8515625" style="2" customWidth="1"/>
    <col min="10" max="10" width="9.00390625" style="2" customWidth="1"/>
    <col min="11" max="11" width="3.00390625" style="2" customWidth="1"/>
    <col min="12" max="12" width="1.7109375" style="2" customWidth="1"/>
    <col min="13" max="13" width="2.8515625" style="2" customWidth="1"/>
    <col min="14" max="18" width="8.8515625" style="2" customWidth="1"/>
    <col min="19" max="19" width="9.00390625" style="2" customWidth="1"/>
    <col min="20" max="20" width="4.7109375" style="2" customWidth="1"/>
    <col min="21" max="21" width="3.00390625" style="2" customWidth="1"/>
    <col min="22" max="23" width="2.7109375" style="2" customWidth="1"/>
    <col min="24" max="16384" width="0" style="2" hidden="1" customWidth="1"/>
  </cols>
  <sheetData>
    <row r="1" spans="1:23" ht="15" customHeight="1" thickBot="1">
      <c r="A1" s="81"/>
      <c r="B1" s="8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8.25" customHeight="1" thickTop="1">
      <c r="A2" s="81"/>
      <c r="B2" s="363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5"/>
      <c r="W2" s="1"/>
    </row>
    <row r="3" spans="1:23" ht="14.25" customHeight="1">
      <c r="A3" s="81"/>
      <c r="B3" s="366"/>
      <c r="C3" s="271"/>
      <c r="D3" s="271"/>
      <c r="E3" s="271"/>
      <c r="F3" s="271"/>
      <c r="G3" s="271"/>
      <c r="H3" s="271"/>
      <c r="I3" s="271"/>
      <c r="J3" s="271"/>
      <c r="K3" s="271"/>
      <c r="L3" s="272" t="s">
        <v>184</v>
      </c>
      <c r="M3" s="271"/>
      <c r="N3" s="271"/>
      <c r="O3" s="271"/>
      <c r="P3" s="271"/>
      <c r="Q3" s="271"/>
      <c r="R3" s="271"/>
      <c r="S3" s="271"/>
      <c r="T3" s="271"/>
      <c r="U3" s="271"/>
      <c r="V3" s="367"/>
      <c r="W3" s="1"/>
    </row>
    <row r="4" spans="1:23" ht="14.25" customHeight="1">
      <c r="A4" s="81"/>
      <c r="B4" s="366"/>
      <c r="C4" s="271"/>
      <c r="D4" s="271"/>
      <c r="E4" s="271"/>
      <c r="F4" s="271"/>
      <c r="G4" s="271"/>
      <c r="H4" s="271"/>
      <c r="I4" s="271"/>
      <c r="J4" s="271"/>
      <c r="K4" s="271"/>
      <c r="L4" s="272" t="s">
        <v>183</v>
      </c>
      <c r="M4" s="271"/>
      <c r="N4" s="271"/>
      <c r="O4" s="271"/>
      <c r="P4" s="271"/>
      <c r="Q4" s="271"/>
      <c r="R4" s="271"/>
      <c r="S4" s="271"/>
      <c r="T4" s="271"/>
      <c r="U4" s="271"/>
      <c r="V4" s="367"/>
      <c r="W4" s="1"/>
    </row>
    <row r="5" spans="1:23" ht="14.25" customHeight="1">
      <c r="A5" s="81"/>
      <c r="B5" s="366"/>
      <c r="C5" s="271"/>
      <c r="D5" s="271"/>
      <c r="E5" s="271"/>
      <c r="F5" s="271"/>
      <c r="G5" s="271"/>
      <c r="H5" s="271"/>
      <c r="I5" s="271"/>
      <c r="J5" s="271"/>
      <c r="K5" s="271"/>
      <c r="L5" s="272" t="str">
        <f>"♥     H  E  S  A  P  L  A  M  A     P  R  O  Ğ  R  A  M  I     ♥"&amp;" "</f>
        <v>♥     H  E  S  A  P  L  A  M  A     P  R  O  Ğ  R  A  M  I     ♥ </v>
      </c>
      <c r="M5" s="360"/>
      <c r="N5" s="271"/>
      <c r="O5" s="271"/>
      <c r="P5" s="271"/>
      <c r="Q5" s="271"/>
      <c r="R5" s="271"/>
      <c r="S5" s="271"/>
      <c r="T5" s="271"/>
      <c r="U5" s="271"/>
      <c r="V5" s="367"/>
      <c r="W5" s="1"/>
    </row>
    <row r="6" spans="1:23" ht="14.25" customHeight="1">
      <c r="A6" s="81"/>
      <c r="B6" s="366"/>
      <c r="C6" s="271"/>
      <c r="D6" s="271"/>
      <c r="E6" s="271"/>
      <c r="F6" s="271"/>
      <c r="G6" s="271"/>
      <c r="H6" s="271"/>
      <c r="I6" s="271"/>
      <c r="J6" s="271"/>
      <c r="K6" s="271"/>
      <c r="L6" s="274" t="str">
        <f ca="1">IF(TODAY()&lt;=DATE(VALUE(TEXT(TODAY(),"yyyy")),6,30),"{"&amp;TEXT(TODAY(),"yyyy")&amp;"-1}","{"&amp;TEXT(TODAY(),"yyyy")&amp;"-2}")</f>
        <v>{2008-2}</v>
      </c>
      <c r="M6" s="360"/>
      <c r="N6" s="271"/>
      <c r="O6" s="271"/>
      <c r="P6" s="271"/>
      <c r="Q6" s="271"/>
      <c r="R6" s="271"/>
      <c r="S6" s="271"/>
      <c r="T6" s="271"/>
      <c r="U6" s="271"/>
      <c r="V6" s="367"/>
      <c r="W6" s="1"/>
    </row>
    <row r="7" spans="1:23" ht="8.25" customHeight="1" thickBot="1">
      <c r="A7" s="81"/>
      <c r="B7" s="368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70"/>
      <c r="W7" s="1"/>
    </row>
    <row r="8" spans="1:23" ht="12" customHeight="1" thickBot="1" thickTop="1">
      <c r="A8" s="81"/>
      <c r="B8" s="37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362" t="str">
        <f ca="1">TEXT(TODAY(),"gg aaaa yyyy - gggg")</f>
        <v>06 Kasım 2008 - Perşembe</v>
      </c>
      <c r="U8" s="52"/>
      <c r="V8" s="372"/>
      <c r="W8" s="1"/>
    </row>
    <row r="9" spans="1:23" ht="15" customHeight="1">
      <c r="A9" s="81"/>
      <c r="B9" s="371"/>
      <c r="C9" s="110"/>
      <c r="D9" s="111"/>
      <c r="E9" s="111"/>
      <c r="F9" s="111"/>
      <c r="G9" s="111"/>
      <c r="H9" s="111"/>
      <c r="I9" s="111"/>
      <c r="J9" s="111"/>
      <c r="K9" s="112"/>
      <c r="L9" s="52"/>
      <c r="M9" s="119"/>
      <c r="N9" s="120"/>
      <c r="O9" s="120"/>
      <c r="P9" s="120"/>
      <c r="Q9" s="357"/>
      <c r="R9" s="120"/>
      <c r="S9" s="120"/>
      <c r="T9" s="120"/>
      <c r="U9" s="121"/>
      <c r="V9" s="372"/>
      <c r="W9" s="1"/>
    </row>
    <row r="10" spans="1:23" ht="18" customHeight="1">
      <c r="A10" s="81"/>
      <c r="B10" s="371"/>
      <c r="C10" s="113"/>
      <c r="D10" s="114"/>
      <c r="E10" s="114"/>
      <c r="F10" s="114"/>
      <c r="G10" s="355" t="s">
        <v>157</v>
      </c>
      <c r="H10" s="114"/>
      <c r="I10" s="114"/>
      <c r="J10" s="114"/>
      <c r="K10" s="115"/>
      <c r="L10" s="52"/>
      <c r="M10" s="122"/>
      <c r="N10" s="123"/>
      <c r="O10" s="123"/>
      <c r="P10" s="124"/>
      <c r="Q10" s="355" t="str">
        <f>IF(OR(AND(I12="",J22="",J23=f),AND(I12="",J22="▼",J23=""),AND(I12="",J22="▼",J23&lt;&gt;"",ISNUMBER(J23)),AND(I12="",J22="▼",J23&lt;&gt;"",ISTEXT(J23)),AND(I12="▼",J22="",J23=""),AND(I12="▼",J22="",J23&lt;&gt;"",ISNUMBER(J23)),AND(I12="▼",J22="",J23&lt;&gt;"",ISTEXT(J23))),"HESAPLAMA DEĞERLERİ     ",IF(AND(I12="▼",J22="",J23=h),"HESAPLAMA DEĞERLERİ'ni görebilmeniz için;      ",""))</f>
        <v>HESAPLAMA DEĞERLERİ     </v>
      </c>
      <c r="R10" s="123"/>
      <c r="S10" s="123"/>
      <c r="T10" s="123"/>
      <c r="U10" s="125"/>
      <c r="V10" s="372"/>
      <c r="W10" s="1"/>
    </row>
    <row r="11" spans="1:23" ht="15" customHeight="1" thickBot="1">
      <c r="A11" s="81"/>
      <c r="B11" s="371"/>
      <c r="C11" s="116"/>
      <c r="D11" s="318">
        <f>IF(OR(AND(I12="▼",J22="",J23=h),AND(I12="▼",J22="",J23=f),AND(OR(J23="",ISNUMBER(J23),AND(J23&lt;&gt;"",ISTEXT(J23),J23&lt;&gt;f,J23&lt;&gt;h)),OR(I13="",ISTEXT(I13),I13&lt;1,I13&gt;80000,I15=h,I17=h,ISTEXT(I19),I19&lt;1,I19&gt;80000,I21=h))),"                               Aşağıdaki Hücrelere KRİTER'leri Giriniz.",IF(AND(OR(J23="",ISNUMBER(J23),AND(J23&lt;&gt;"",ISTEXT(J23),J23&lt;&gt;f,J23&lt;&gt;h)),I13&lt;&gt;"",ISNUMBER(I13),I13&gt;=1,I13&lt;=80000,I15&lt;&gt;"",OR(I15=1,I15=2,I15="3A",I15="3B",I15="4A",I15="4B",I15="4C",I15="5A",I15="5B",I15="5C",I13="5D"),I17&lt;&gt;"",ISTEXT(I17),OR(I17="Var",I17="Yok"),I19&lt;&gt;"",ISNUMBER(I19),I19&gt;=1,I19&lt;=80000,I21&lt;&gt;"",ISNUMBER(I21),I21&gt;=1,I21&lt;=99),"                       Aşağıdaki Butonu HESAPLA Konumuna Getiriniz.",""))</f>
      </c>
      <c r="E11" s="117"/>
      <c r="F11" s="117"/>
      <c r="G11" s="127"/>
      <c r="H11" s="117"/>
      <c r="I11" s="117"/>
      <c r="J11" s="117"/>
      <c r="K11" s="118"/>
      <c r="L11" s="52"/>
      <c r="M11" s="356" t="str">
        <f>IF(OR(AND(I12="▼",J23=h),AND(OR(J23="",ISNUMBER(J23),AND(J23&lt;&gt;"",ISTEXT(J23),J23&lt;&gt;f,J23&lt;&gt;h)),I13&lt;&gt;"",ISNUMBER(I13),I13&gt;=1,I13&lt;=80000,I15&lt;&gt;"",OR(I15=1,I15=2,I15="3A",I15="3B",I15="4A",I15="4B",I15="4C",I15="5A",I15="5B",I15="5C",I13="5D"),I17&lt;&gt;"",ISTEXT(I17),OR(I17="Var",I17="Yok"),I19&lt;&gt;"",ISNUMBER(I19),I19&gt;=1,I19&lt;=80000,I21&lt;&gt;"",ISNUMBER(I21),I21&gt;=1,I21&lt;=99)),"      HESAPLAMA KRİTERLERİ Kısmındaki Butonu HESAPLA Konumuna Getiriniz.",IF(OR((AND(OR(J23="",ISNUMBER(J23),AND(J23&lt;&gt;"",ISTEXT(J23),J23&lt;&gt;f,J23&lt;&gt;h)),OR(I13="",ISTEXT(I13),I13&lt;1,I13&gt;80000,I15=h,I17=h,ISTEXT(I19),I19&lt;1,I19&gt;80000,I21=h))),AND(J23=f,OR(I13="",ISTEXT(I13),I13&lt;1,I13&gt;80000,I15="",I15=h,I17="",I17=h,I19="",ISTEXT(I19),I19&lt;1,I19&gt;80000,I21="",I21=h))),"                        HESAPLAMA KRİTERLERİ Kısmındaki KRİTER'leri Giriniz.",IF(OR(AND(I12="",J23=f,R29&gt;0,C41=1),AND(I12="",J23=f,R29&gt;0,C41=2)),D41,"")))</f>
        <v>                           {1 Temmuz - 31 Aralık 2008 Tarihleri Arasında Geçerlidir.}</v>
      </c>
      <c r="N11" s="126"/>
      <c r="O11" s="127"/>
      <c r="P11" s="127"/>
      <c r="Q11" s="127"/>
      <c r="R11" s="127"/>
      <c r="S11" s="127"/>
      <c r="T11" s="127"/>
      <c r="U11" s="128"/>
      <c r="V11" s="372"/>
      <c r="W11" s="1"/>
    </row>
    <row r="12" spans="1:23" ht="14.25" customHeight="1">
      <c r="A12" s="81"/>
      <c r="B12" s="371"/>
      <c r="C12" s="300"/>
      <c r="D12" s="302"/>
      <c r="E12" s="302"/>
      <c r="F12" s="302"/>
      <c r="G12" s="302"/>
      <c r="H12" s="302"/>
      <c r="I12" s="319">
        <f>IF(OR(J23=h,AND(J23=f,OR(I13="",AND(ISNUMBER(I13),I13&lt;1,I13&gt;80000),ISTEXT(I13),I15="",I15=h,AND(ISTEXT(I17),I17&lt;&gt;"Var",I17&lt;&gt;"Yok"),OR(I17="",I17=h,ISNUMBER(I17)),I19="",AND(ISNUMBER(I19),I19&lt;1,I19&gt;80000),ISTEXT(I19),I21="",I21=h,AND(ISNUMBER(I21),I21&lt;0,I21&gt;99),ISTEXT(I21)))),"▼",IF(AND(OR(J23="",ISNUMBER(J23),AND(J23&lt;&gt;"",ISTEXT(J23),J23&lt;&gt;f,J23&lt;&gt;h)),OR(I13="",ISTEXT(I13),I13&lt;1,I13&gt;80000,I15=h,I17=h,ISTEXT(I19),I19&lt;1,I19&gt;80000,I21=h)),"▼",""))</f>
      </c>
      <c r="J12" s="302"/>
      <c r="K12" s="303"/>
      <c r="L12" s="52"/>
      <c r="M12" s="53"/>
      <c r="N12" s="314"/>
      <c r="O12" s="54"/>
      <c r="P12" s="54"/>
      <c r="Q12" s="54"/>
      <c r="R12" s="307"/>
      <c r="S12" s="307"/>
      <c r="T12" s="54"/>
      <c r="U12" s="55"/>
      <c r="V12" s="372"/>
      <c r="W12" s="1"/>
    </row>
    <row r="13" spans="1:23" ht="14.25" customHeight="1">
      <c r="A13" s="81"/>
      <c r="B13" s="371"/>
      <c r="C13" s="301"/>
      <c r="D13" s="343" t="s">
        <v>167</v>
      </c>
      <c r="E13" s="304"/>
      <c r="F13" s="304"/>
      <c r="G13" s="304"/>
      <c r="H13" s="304"/>
      <c r="I13" s="84">
        <v>6836</v>
      </c>
      <c r="J13" s="304"/>
      <c r="K13" s="305"/>
      <c r="L13" s="52"/>
      <c r="M13" s="56"/>
      <c r="N13" s="311" t="s">
        <v>181</v>
      </c>
      <c r="O13" s="31"/>
      <c r="P13" s="57"/>
      <c r="Q13" s="57"/>
      <c r="R13" s="379">
        <f>(IF(AND(J23&lt;&gt;"",J23=f),(IF(AND(I13&lt;&gt;"",ISNUMBER(I13),I13&gt;=1,I13&lt;=80000,I15&lt;&gt;"",OR(I15=j,I15=ja,I15=jb,I15=jc,I15=jd,I15=je,I15=jf,I15=jg,I15=jh,I15=ji,I15=jj),I17&lt;&gt;"",I17="Yok",I19&lt;&gt;"",ISNUMBER(I19),I19=1,I21&lt;&gt;"",ISNUMBER(I21),I21&gt;=0,I21&lt;=99),SUM(ba,C43),IF(AND(I13&lt;&gt;"",ISNUMBER(I13),I13&gt;=1,I13&lt;=80000,I15&lt;&gt;"",OR(I15=j,I15=ja,I15=jb,I15=jc,I15=jd,I15=je,I15=jf,I15=jg,I15=jh,I15=ji,I15=jj),I17&lt;&gt;"",I17="Var",I19&lt;&gt;"",ISNUMBER(I19),I19=1,I21&lt;&gt;"",ISNUMBER(I21),I21&gt;=0,I21&lt;=99),SUM(bb,C43),IF(AND(I13&lt;&gt;"",ISNUMBER(I13),I13&gt;=1,I13&lt;=80000,I15&lt;&gt;"",OR(I15=j,I15=ja,I15=jb,I15=jc,I15=jd,I15=je,I15=jf,I15=jg,I15=jh,I15=ji,I15=jj),I17&lt;&gt;"",I17="Yok",I19&lt;&gt;"",ISNUMBER(I19),I19&gt;1,I19&lt;=80000,I21&lt;&gt;"",ISNUMBER(I21),I21&gt;=0,I21&lt;=99),SUM(ba,C43),IF(AND(I13&lt;&gt;"",ISNUMBER(I13),I13&gt;=1,I13&lt;=80000,I15&lt;&gt;"",OR(I15=j,I15=ja,I15=jb,I15=jc,I15=jd,I15=je,I15=jf,I15=jg,I15=jh,I15=ji,I15=jj),I17&lt;&gt;"",I17="Var",I19&lt;&gt;"",ISNUMBER(I19),I19&gt;1,I19&lt;=80000,I21&lt;&gt;"",ISNUMBER(I21),I21&gt;=0,I21&lt;=99),SUM(bb,C43),0))))),0))</f>
        <v>5337</v>
      </c>
      <c r="S13" s="380"/>
      <c r="T13" s="312" t="str">
        <f>IF(R13&gt;0,"YTL","")</f>
        <v>YTL</v>
      </c>
      <c r="U13" s="58"/>
      <c r="V13" s="372"/>
      <c r="W13" s="1"/>
    </row>
    <row r="14" spans="1:23" ht="14.25" customHeight="1">
      <c r="A14" s="81"/>
      <c r="B14" s="371"/>
      <c r="C14" s="301"/>
      <c r="D14" s="304"/>
      <c r="E14" s="304"/>
      <c r="F14" s="304"/>
      <c r="G14" s="304"/>
      <c r="H14" s="304"/>
      <c r="I14" s="345">
        <f>IF(I13="","İNŞAAT ALANI [m2] Değerini Giriniz.          ▲        ",IF(OR(AND(I13&lt;&gt;"",ISNUMBER(I13),OR(I13&lt;=0,I13&gt;80000)),AND(I13&lt;&gt;"",ISTEXT(I13))),"{ 1, ... ,80.000 }  Arasında Bir Değer Giriniz.          ▲        ",""))</f>
      </c>
      <c r="J14" s="304"/>
      <c r="K14" s="305"/>
      <c r="L14" s="52"/>
      <c r="M14" s="56"/>
      <c r="N14" s="335" t="s">
        <v>180</v>
      </c>
      <c r="O14" s="31"/>
      <c r="P14" s="57"/>
      <c r="Q14" s="57"/>
      <c r="R14" s="381">
        <f>PRODUCT(R13,18/100)</f>
        <v>960.66</v>
      </c>
      <c r="S14" s="382"/>
      <c r="T14" s="336" t="str">
        <f>IF(R14&gt;0,"YTL","")</f>
        <v>YTL</v>
      </c>
      <c r="U14" s="58"/>
      <c r="V14" s="372"/>
      <c r="W14" s="1"/>
    </row>
    <row r="15" spans="1:23" ht="14.25" customHeight="1">
      <c r="A15" s="81"/>
      <c r="B15" s="371"/>
      <c r="C15" s="301"/>
      <c r="D15" s="343" t="s">
        <v>168</v>
      </c>
      <c r="E15" s="304"/>
      <c r="F15" s="304"/>
      <c r="G15" s="304"/>
      <c r="H15" s="304"/>
      <c r="I15" s="278">
        <v>2</v>
      </c>
      <c r="J15" s="304"/>
      <c r="K15" s="305"/>
      <c r="L15" s="52"/>
      <c r="M15" s="56"/>
      <c r="N15" s="59" t="s">
        <v>177</v>
      </c>
      <c r="O15" s="57"/>
      <c r="P15" s="57"/>
      <c r="Q15" s="57"/>
      <c r="R15" s="383">
        <f>SUM(R13:S14)</f>
        <v>6297.66</v>
      </c>
      <c r="S15" s="384"/>
      <c r="T15" s="298" t="str">
        <f>IF(R15&gt;0,"YTL","")</f>
        <v>YTL</v>
      </c>
      <c r="U15" s="58"/>
      <c r="V15" s="372"/>
      <c r="W15" s="1"/>
    </row>
    <row r="16" spans="1:23" ht="14.25" customHeight="1">
      <c r="A16" s="81"/>
      <c r="B16" s="371"/>
      <c r="C16" s="301"/>
      <c r="D16" s="304"/>
      <c r="E16" s="304"/>
      <c r="F16" s="304"/>
      <c r="G16" s="304"/>
      <c r="H16" s="304"/>
      <c r="I16" s="345">
        <f>IF(I15=h,"",IF(OR(I15="",AND(I15&lt;&gt;"",I15&lt;&gt;j,I15&lt;&gt;ja,I15&lt;&gt;jb,I15&lt;&gt;jc,I15&lt;&gt;jd,I15&lt;&gt;je,I15&lt;&gt;jf,I15&lt;&gt;jg,I15&lt;&gt;jh,I15&lt;&gt;ji,I15&lt;&gt;jj)),"Lütfen  'AÇILIR LİSTE'  den Seçim Yapınız.          ▲        ",""))</f>
      </c>
      <c r="J16" s="304"/>
      <c r="K16" s="305"/>
      <c r="L16" s="52"/>
      <c r="M16" s="56"/>
      <c r="N16" s="310" t="str">
        <f>IF(AND(I12="",I13&lt;&gt;"",ISNUMBER(I13),I13&gt;=1,I13&lt;=80000,OR(I15=j,I15=ja,I15=jb,I15=jc,I15=jd,I15=je,I15=jf,I15=jg,I15=jh,I15=ji,I15=jj),OR(I17="Var",I17="Yok"),I21&lt;&gt;"",ISNUMBER(I21),I21&gt;=0,I21&lt;=99,J23=f)," {PB; [(■İA..: "&amp;IF(I13&lt;1000,TEXT(I13,"0"),IF(I13&gt;=1000,TEXT(I13,"0.000"),0))&amp;" m2 ■PS..: "&amp;I15&amp;" ■BD..: "&amp;IF(OR(AND(I17="Var",I19=1),AND(I17="Yok",I19=1)),"Yok",IF(AND(OR(I17="Var",I17="Yok"),I19&gt;=2),I17,0))&amp;IF(AND(I17="Var",I19&gt;=2)," ■BBS..: ",IF(OR(AND(I17="Var",I19=1),AND(I17="Yok",I19&gt;=1))," ■BS..: ",0))&amp;IF(AND(I19&lt;&gt;"",ISNUMBER(I19),I19&gt;=1,I19&lt;=999),I19,IF(AND(I19&lt;&gt;"",ISNUMBER(I19),I19&gt;=1000,I19&lt;=80000),TEXT(I19,"0.000"),""))&amp;") + ■AAP..: "&amp;I21&amp;"] Kriterleri İle Hesaplandı.}","")</f>
        <v> {PB; [(■İA..: 6.836 m2 ■PS..: 2 ■BD..: Yok ■BS..: 1) + ■AAP..: 0] Kriterleri İle Hesaplandı.}</v>
      </c>
      <c r="O16" s="57"/>
      <c r="P16" s="57"/>
      <c r="Q16" s="57"/>
      <c r="R16" s="297"/>
      <c r="S16" s="297"/>
      <c r="T16" s="57"/>
      <c r="U16" s="58"/>
      <c r="V16" s="372"/>
      <c r="W16" s="1"/>
    </row>
    <row r="17" spans="1:23" ht="14.25" customHeight="1">
      <c r="A17" s="81"/>
      <c r="B17" s="371"/>
      <c r="C17" s="301"/>
      <c r="D17" s="342" t="s">
        <v>173</v>
      </c>
      <c r="E17" s="304"/>
      <c r="F17" s="304"/>
      <c r="G17" s="304"/>
      <c r="H17" s="304"/>
      <c r="I17" s="346" t="s">
        <v>25</v>
      </c>
      <c r="J17" s="304"/>
      <c r="K17" s="305"/>
      <c r="L17" s="52"/>
      <c r="M17" s="56"/>
      <c r="N17" s="311" t="s">
        <v>179</v>
      </c>
      <c r="O17" s="31"/>
      <c r="P17" s="57"/>
      <c r="Q17" s="57"/>
      <c r="R17" s="379">
        <f>IF(AND(R13&lt;&gt;"",ISNUMBER(R13),R13&gt;0),bc,0)</f>
        <v>5337</v>
      </c>
      <c r="S17" s="380"/>
      <c r="T17" s="312" t="str">
        <f>IF(R17&gt;0,"YTL","")</f>
        <v>YTL</v>
      </c>
      <c r="U17" s="58"/>
      <c r="V17" s="372"/>
      <c r="W17" s="1"/>
    </row>
    <row r="18" spans="1:23" ht="14.25" customHeight="1">
      <c r="A18" s="81"/>
      <c r="B18" s="371"/>
      <c r="C18" s="301"/>
      <c r="D18" s="304"/>
      <c r="E18" s="304"/>
      <c r="F18" s="304"/>
      <c r="G18" s="304"/>
      <c r="H18" s="304"/>
      <c r="I18" s="345">
        <f>IF(I17=h,"",IF(OR(I17="",AND(I17&lt;&gt;"",I17&lt;&gt;"Var",I17&lt;&gt;"Yok")),"Lütfen  'AÇILIR LİSTE'  den Seçim Yapınız.          ▲        ",""))</f>
      </c>
      <c r="J18" s="304"/>
      <c r="K18" s="305"/>
      <c r="L18" s="52"/>
      <c r="M18" s="56"/>
      <c r="N18" s="335" t="s">
        <v>178</v>
      </c>
      <c r="O18" s="31"/>
      <c r="P18" s="57"/>
      <c r="Q18" s="57"/>
      <c r="R18" s="381">
        <f>PRODUCT(R17,18/100)</f>
        <v>960.66</v>
      </c>
      <c r="S18" s="382"/>
      <c r="T18" s="336" t="str">
        <f>IF(R18&gt;0,"YTL","")</f>
        <v>YTL</v>
      </c>
      <c r="U18" s="58"/>
      <c r="V18" s="372"/>
      <c r="W18" s="1"/>
    </row>
    <row r="19" spans="1:23" ht="14.25" customHeight="1">
      <c r="A19" s="81"/>
      <c r="B19" s="371"/>
      <c r="C19" s="301"/>
      <c r="D19" s="342" t="str">
        <f>IF(AND(OR(I17="Var",I17="Yok"),I19&lt;&gt;"",ISNUMBER(I19),I19=1)," BLOK SAYISI [BS]................................:",IF(AND(I17="Yok",I19&lt;&gt;"",ISNUMBER(I19),I19&gt;1)," BLOK SAYISI [BS] ...............................:",IF(AND(I17="Var",I19&lt;&gt;"",ISNUMBER(I19),I19&gt;1)," BENZER BLOK SAYISI [BBS] ..........:"," BENZER BLOK SAYISI [BBS] ..........:")))</f>
        <v> BLOK SAYISI [BS]................................:</v>
      </c>
      <c r="E19" s="304"/>
      <c r="F19" s="304"/>
      <c r="G19" s="304"/>
      <c r="H19" s="304"/>
      <c r="I19" s="334">
        <v>1</v>
      </c>
      <c r="J19" s="304"/>
      <c r="K19" s="305"/>
      <c r="L19" s="52"/>
      <c r="M19" s="56"/>
      <c r="N19" s="59" t="s">
        <v>177</v>
      </c>
      <c r="O19" s="57"/>
      <c r="P19" s="57"/>
      <c r="Q19" s="57"/>
      <c r="R19" s="383">
        <f>SUM(R17:S18)</f>
        <v>6297.66</v>
      </c>
      <c r="S19" s="384"/>
      <c r="T19" s="298" t="str">
        <f>IF(R19&gt;0,"YTL","")</f>
        <v>YTL</v>
      </c>
      <c r="U19" s="58"/>
      <c r="V19" s="372"/>
      <c r="W19" s="1"/>
    </row>
    <row r="20" spans="1:23" ht="14.25" customHeight="1">
      <c r="A20" s="81"/>
      <c r="B20" s="371"/>
      <c r="C20" s="301"/>
      <c r="D20" s="304"/>
      <c r="E20" s="304"/>
      <c r="F20" s="304"/>
      <c r="G20" s="304"/>
      <c r="H20" s="304"/>
      <c r="I20" s="345">
        <f>IF(OR(I19="",I19&lt;=0,I19&gt;80000,ISTEXT(I19)),"{ 1, ... ,80.000 }  Arasında Bir Değer Giriniz.          ▲        ","")</f>
      </c>
      <c r="J20" s="304"/>
      <c r="K20" s="305"/>
      <c r="L20" s="52"/>
      <c r="M20" s="56"/>
      <c r="N20" s="310" t="str">
        <f>IF(AND(I13&lt;&gt;"",ISNUMBER(I13),I13&gt;=1,I13&lt;=80000,OR(I15=j,I15=ja,I15=jb,I15=jc,I15=jd,I15=je,I15=jf,I15=jg,I15=jh,I15=ji,I15=jj),I17="Var",I19&lt;&gt;"",ISNUMBER(I19),I19&gt;=1,I19&lt;=80000,I21&lt;&gt;"",ISNUMBER(I21),I21&gt;=0,I21&lt;=99,J23=f)," {TUS BEDELİ Hesaplamasında; 'Benzerlik Durumu' DİKKATE ALINMAZ.}","")</f>
        <v> {TUS BEDELİ Hesaplamasında; ''Benzerlik Durumu'' DİKKATE ALINMAZ.}</v>
      </c>
      <c r="O20" s="57"/>
      <c r="P20" s="57"/>
      <c r="Q20" s="57"/>
      <c r="R20" s="297"/>
      <c r="S20" s="297"/>
      <c r="T20" s="57"/>
      <c r="U20" s="58"/>
      <c r="V20" s="372"/>
      <c r="W20" s="1"/>
    </row>
    <row r="21" spans="1:23" ht="14.25" customHeight="1">
      <c r="A21" s="81"/>
      <c r="B21" s="371"/>
      <c r="C21" s="301"/>
      <c r="D21" s="341" t="s">
        <v>169</v>
      </c>
      <c r="E21" s="304"/>
      <c r="F21" s="304"/>
      <c r="G21" s="304"/>
      <c r="H21" s="304"/>
      <c r="I21" s="333">
        <v>0</v>
      </c>
      <c r="J21" s="304"/>
      <c r="K21" s="305"/>
      <c r="L21" s="52"/>
      <c r="M21" s="56"/>
      <c r="N21" s="311" t="s">
        <v>176</v>
      </c>
      <c r="O21" s="31"/>
      <c r="P21" s="57"/>
      <c r="Q21" s="57"/>
      <c r="R21" s="379">
        <f>SUM(R13,R17)</f>
        <v>10674</v>
      </c>
      <c r="S21" s="380"/>
      <c r="T21" s="312" t="str">
        <f>IF(R21&gt;0,"YTL","")</f>
        <v>YTL</v>
      </c>
      <c r="U21" s="58"/>
      <c r="V21" s="372"/>
      <c r="W21" s="1"/>
    </row>
    <row r="22" spans="1:23" ht="14.25" customHeight="1" thickBot="1">
      <c r="A22" s="81"/>
      <c r="B22" s="371"/>
      <c r="C22" s="301"/>
      <c r="D22" s="349">
        <f>IF(AND(I21&lt;&gt;"",ISNUMBER(I21),I21&gt;=1,I21&lt;=99,R29&lt;&gt;"",ISNUMBER(R29),R29&gt;0,VALUE('mmo.hp'!M42)&lt;1000),"■ [AAP] İçin [PB]'ne; "&amp;'mmo.hp'!L41&amp;" * "&amp;'mmo.hp'!K41&amp;" = "&amp;'mmo.hp'!M41&amp;" YTL Eklendi.",IF(AND(I21&lt;&gt;"",ISNUMBER(I21),I21&gt;=1,I21&lt;=99,R29&lt;&gt;"",ISNUMBER(R29),R29&gt;0,VALUE('mmo.hp'!M42)&gt;=1000),"■ [AAP] İçin [PB]'ne; "&amp;'mmo.hp'!L41&amp;"*"&amp;'mmo.hp'!K41&amp;"= "&amp;'mmo.hp'!M41&amp;" YTL Eklendi.",""))</f>
      </c>
      <c r="E22" s="304"/>
      <c r="F22" s="304"/>
      <c r="G22" s="304"/>
      <c r="H22" s="304"/>
      <c r="I22" s="345">
        <f>IF(I21=h,"",IF(OR(I21="",AND(I21&lt;&gt;"",ISNUMBER(I21),I21&lt;0,I21&gt;99),ISTEXT(I21)),"Lütfen 'AÇILIR LİSTE' den Seçim Yapınız.          ▲        ",""))</f>
      </c>
      <c r="J22" s="354">
        <f>IF(AND(OR(J23="",ISNUMBER(J23),AND(J23&lt;&gt;"",ISTEXT(J23),J23&lt;&gt;f,J23&lt;&gt;h)),I13&lt;&gt;"",ISNUMBER(I13),I13&gt;=1,I13&lt;=80000,I15&lt;&gt;"",OR(I15=1,I15=2,I15="3A",I15="3B",I15="4A",I15="4B",I15="4C",I15="5A",I15="5B",I15="5C",I13="5D"),I17&lt;&gt;"",ISTEXT(I17),OR(I17="Var",I17="Yok"),I19&lt;&gt;"",ISNUMBER(I19),I19&gt;=1,I19&lt;=80000,I21&lt;&gt;"",ISNUMBER(I21),I21&gt;=1,I21&lt;=99),"▼","")</f>
      </c>
      <c r="K22" s="305"/>
      <c r="L22" s="52"/>
      <c r="M22" s="56"/>
      <c r="N22" s="335" t="s">
        <v>175</v>
      </c>
      <c r="O22" s="31"/>
      <c r="P22" s="57"/>
      <c r="Q22" s="57"/>
      <c r="R22" s="381">
        <f>PRODUCT(R21,18/100)</f>
        <v>1921.32</v>
      </c>
      <c r="S22" s="382"/>
      <c r="T22" s="336" t="str">
        <f>IF(R22&gt;0,"YTL","")</f>
        <v>YTL</v>
      </c>
      <c r="U22" s="58"/>
      <c r="V22" s="372"/>
      <c r="W22" s="1"/>
    </row>
    <row r="23" spans="1:23" ht="14.25" customHeight="1" thickBot="1">
      <c r="A23" s="81"/>
      <c r="B23" s="371"/>
      <c r="C23" s="301"/>
      <c r="D23" s="344">
        <f>IF(AND(I21&lt;&gt;"",ISNUMBER(I21),I21&gt;=1,I21&lt;=99,R29&lt;&gt;"",ISNUMBER(R29),R29&gt;0,VALUE('mmo.hp'!M42)&lt;1000),"■ [AAP] İçin [MDÜ] [PROJE]'ye; "&amp;'mmo.hp'!L42&amp;" * "&amp;'mmo.hp'!K42&amp;" = "&amp;'mmo.hp'!M42&amp;" YTL Eklendi.",IF(AND(I21&lt;&gt;"",ISNUMBER(I21),I21&gt;=1,I21&lt;=99,R29&lt;&gt;"",ISNUMBER(R29),R29&gt;0,VALUE('mmo.hp'!M42)&gt;=1000),"■ [AAP] İçin [MDÜ] [PROJE]'ye; "&amp;'mmo.hp'!L42&amp;"*"&amp;'mmo.hp'!K42&amp;"= "&amp;'mmo.hp'!M42&amp;" YTL Eklendi.",""))</f>
      </c>
      <c r="E23" s="304"/>
      <c r="F23" s="304"/>
      <c r="G23" s="304"/>
      <c r="H23" s="304"/>
      <c r="I23" s="352">
        <f>IF(OR(ISNUMBER(J23),AND(ISTEXT(J23),J23&lt;&gt;h,J23&lt;&gt;f)),"{HATALI VERİ GİRİŞİ} ► ","")</f>
      </c>
      <c r="J23" s="359" t="s">
        <v>26</v>
      </c>
      <c r="K23" s="305"/>
      <c r="L23" s="52"/>
      <c r="M23" s="56"/>
      <c r="N23" s="59" t="s">
        <v>174</v>
      </c>
      <c r="O23" s="31"/>
      <c r="P23" s="57"/>
      <c r="Q23" s="57"/>
      <c r="R23" s="383">
        <f>SUM(R21:S22)</f>
        <v>12595.32</v>
      </c>
      <c r="S23" s="389"/>
      <c r="T23" s="298" t="str">
        <f>IF(R23&gt;0,"YTL","")</f>
        <v>YTL</v>
      </c>
      <c r="U23" s="58"/>
      <c r="V23" s="372"/>
      <c r="W23" s="1"/>
    </row>
    <row r="24" spans="1:23" ht="14.25" customHeight="1" thickBot="1">
      <c r="A24" s="81"/>
      <c r="B24" s="371"/>
      <c r="C24" s="353"/>
      <c r="D24" s="299"/>
      <c r="E24" s="299"/>
      <c r="F24" s="299"/>
      <c r="G24" s="299"/>
      <c r="H24" s="299"/>
      <c r="I24" s="299"/>
      <c r="J24" s="331">
        <f>IF(OR(J23="",ISNUMBER(J23),AND(ISTEXT(J23),J23&lt;&gt;h,J23&lt;&gt;f)),"Lütfen  'AÇILIR LİSTE'  den Seçim Yapınız.         ▲        ","")</f>
      </c>
      <c r="K24" s="306"/>
      <c r="L24" s="52"/>
      <c r="M24" s="32"/>
      <c r="N24" s="79" t="str">
        <f>IF(AND(I13&lt;&gt;"",ISNUMBER(I13),I13&gt;=1,I13&lt;=80000,OR(I15=j,I15=ja,I15=jb,I15=jc,I15=jd,I15=je,I15=jf,I15=jg,I15=jh,I15=ji,I15=jj),OR(I17="Var",I17="Yok"),I19&lt;&gt;"",ISNUMBER(I19),I19&gt;=1,I19&lt;=80000,I21&lt;&gt;"",ISNUMBER(I21),I21&gt;=0,I21&lt;=99,J23=f),"          [PROJE + TUS]","")</f>
        <v>          [PROJE + TUS]</v>
      </c>
      <c r="O24" s="33"/>
      <c r="P24" s="33"/>
      <c r="Q24" s="33"/>
      <c r="R24" s="308"/>
      <c r="S24" s="308"/>
      <c r="T24" s="33"/>
      <c r="U24" s="34"/>
      <c r="V24" s="372"/>
      <c r="W24" s="1"/>
    </row>
    <row r="25" spans="1:23" ht="12" customHeight="1" thickBot="1">
      <c r="A25" s="81"/>
      <c r="B25" s="37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309"/>
      <c r="S25" s="309"/>
      <c r="T25" s="52"/>
      <c r="U25" s="52"/>
      <c r="V25" s="372"/>
      <c r="W25" s="1"/>
    </row>
    <row r="26" spans="1:23" ht="14.25" customHeight="1" thickBot="1">
      <c r="A26" s="81"/>
      <c r="B26" s="371"/>
      <c r="C26" s="60"/>
      <c r="D26" s="61"/>
      <c r="E26" s="61"/>
      <c r="F26" s="61"/>
      <c r="G26" s="61"/>
      <c r="H26" s="61"/>
      <c r="I26" s="61"/>
      <c r="J26" s="61"/>
      <c r="K26" s="62"/>
      <c r="L26" s="52"/>
      <c r="M26" s="63"/>
      <c r="N26" s="64"/>
      <c r="O26" s="64"/>
      <c r="P26" s="64"/>
      <c r="Q26" s="64"/>
      <c r="R26" s="64"/>
      <c r="S26" s="64"/>
      <c r="T26" s="64"/>
      <c r="U26" s="65"/>
      <c r="V26" s="372"/>
      <c r="W26" s="1"/>
    </row>
    <row r="27" spans="1:23" ht="14.25" customHeight="1" thickBot="1">
      <c r="A27" s="81"/>
      <c r="B27" s="371"/>
      <c r="C27" s="36"/>
      <c r="D27" s="66"/>
      <c r="E27" s="66"/>
      <c r="F27" s="66"/>
      <c r="G27" s="66"/>
      <c r="H27" s="67" t="str">
        <f>IF(J23&lt;&gt;h,"T M M O B                        ","t m m o b                        ")</f>
        <v>T M M O B                        </v>
      </c>
      <c r="I27" s="66"/>
      <c r="J27" s="66"/>
      <c r="K27" s="68"/>
      <c r="L27" s="52"/>
      <c r="M27" s="69"/>
      <c r="N27" s="350" t="s">
        <v>172</v>
      </c>
      <c r="O27" s="70"/>
      <c r="P27" s="70"/>
      <c r="Q27" s="71"/>
      <c r="R27" s="392">
        <f>IF(AND(J23&lt;&gt;"",J23=f),(IF(AND(I13&lt;&gt;"",ISNUMBER(I13),I13&gt;=1,I13&lt;=80000,I15&lt;&gt;"",OR(I15=j,I15=ja,I15=jb,I15=jc,I15=jd,I15=je,I15=jf,I15=jg,I15=jh,I15=ji,I15=jj),I17&lt;&gt;"",I17="Yok",I19&lt;&gt;"",ISNUMBER(I19),I19=1),SUM(ga,C44),IF(AND(I13&lt;&gt;"",ISNUMBER(I13),I13&gt;=1,I13&lt;=80000,I15&lt;&gt;"",OR(I15=j,I15=ja,I15=jb,I15=jc,I15=jd,I15=je,I15=jf,I15=jg,I15=jh,I15=ji,I15=jj),I17&lt;&gt;"",I17="Var",I19&lt;&gt;"",ISNUMBER(I19),I19=1),SUM(gb,C44),IF(AND(I13&lt;&gt;"",ISNUMBER(I13),I13&gt;=1,I13&lt;=80000,I15&lt;&gt;"",OR(I15=j,I15=ja,I15=jb,I15=jc,I15=jd,I15=je,I15=jf,I15=jg,I15=jh,I15=ji,I15=jj),I17&lt;&gt;"",I17="Yok",I19&lt;&gt;"",ISNUMBER(I19),I19&gt;1,I19&lt;=80000),SUM(ga,C44),IF(AND(I13&lt;&gt;"",ISNUMBER(I13),I13&gt;=1,I13&lt;=80000,I15&lt;&gt;"",OR(I15=j,I15=ja,I15=jb,I15=jc,I15=jd,I15=je,I15=jf,I15=jg,I15=jh,I15=ji,I15=jj),I17&lt;&gt;"",I17="Var",I19&lt;&gt;"",ISNUMBER(I19),I19&gt;1,I19&lt;=80000),SUM(gb,C44),0))))),0)</f>
        <v>214</v>
      </c>
      <c r="S27" s="393"/>
      <c r="T27" s="358" t="str">
        <f>IF(R27&gt;0,"YTL","")</f>
        <v>YTL</v>
      </c>
      <c r="U27" s="72"/>
      <c r="V27" s="372"/>
      <c r="W27" s="1"/>
    </row>
    <row r="28" spans="1:23" ht="14.25" customHeight="1" thickBot="1">
      <c r="A28" s="81"/>
      <c r="B28" s="371"/>
      <c r="C28" s="36"/>
      <c r="D28" s="66"/>
      <c r="E28" s="66"/>
      <c r="F28" s="66"/>
      <c r="G28" s="66"/>
      <c r="H28" s="67" t="str">
        <f>IF(J23&lt;&gt;h,"MAKİNA MÜHENDİSLERİ ODASI                        ","makina mühendisleri odası                        ")</f>
        <v>MAKİNA MÜHENDİSLERİ ODASI                        </v>
      </c>
      <c r="I28" s="66"/>
      <c r="J28" s="66"/>
      <c r="K28" s="68"/>
      <c r="L28" s="52"/>
      <c r="M28" s="69"/>
      <c r="N28" s="350" t="s">
        <v>171</v>
      </c>
      <c r="O28" s="70"/>
      <c r="P28" s="70"/>
      <c r="Q28" s="71"/>
      <c r="R28" s="390">
        <f>IF(AND(R27&lt;&gt;"",ISNUMBER(R27),R27&gt;0),gc,0)</f>
        <v>214</v>
      </c>
      <c r="S28" s="391"/>
      <c r="T28" s="351" t="str">
        <f>IF(R28&gt;0,"YTL","")</f>
        <v>YTL</v>
      </c>
      <c r="U28" s="72"/>
      <c r="V28" s="372"/>
      <c r="W28" s="1"/>
    </row>
    <row r="29" spans="1:23" ht="14.25" customHeight="1" thickBot="1">
      <c r="A29" s="81"/>
      <c r="B29" s="371"/>
      <c r="C29" s="36"/>
      <c r="D29" s="66"/>
      <c r="E29" s="66"/>
      <c r="F29" s="66"/>
      <c r="G29" s="66"/>
      <c r="H29" s="67" t="str">
        <f>IF(J23&lt;&gt;h,"KONYA ŞUBESİ                        ","konya şubesi                        ")</f>
        <v>KONYA ŞUBESİ                        </v>
      </c>
      <c r="I29" s="66"/>
      <c r="J29" s="66"/>
      <c r="K29" s="68"/>
      <c r="L29" s="52"/>
      <c r="M29" s="69"/>
      <c r="N29" s="330" t="s">
        <v>170</v>
      </c>
      <c r="O29" s="70"/>
      <c r="P29" s="70"/>
      <c r="Q29" s="71"/>
      <c r="R29" s="387">
        <f>SUM(R27:S28)</f>
        <v>428</v>
      </c>
      <c r="S29" s="388"/>
      <c r="T29" s="317" t="str">
        <f>IF(R29&gt;0,"YTL","")</f>
        <v>YTL</v>
      </c>
      <c r="U29" s="72"/>
      <c r="V29" s="372"/>
      <c r="W29" s="1"/>
    </row>
    <row r="30" spans="1:23" ht="14.25" customHeight="1" thickBot="1">
      <c r="A30" s="81"/>
      <c r="B30" s="371"/>
      <c r="C30" s="313" t="str">
        <f>IF(R29=0,C33,IF(AND(I17="Yok",J23=f,R29&gt;0,R29&lt;=300),(IF(AND(I17="Yok",R29&gt;0,R29&lt;=100),C34,IF(AND(I17="Yok",R29&gt;100,R29&lt;=200),C35,IF(AND(I17="Yok",R29&gt;200,R29&lt;=300),C37,"")))),IF(AND(I17="Yok",J23=f,R29&gt;300),(IF(AND(I17="Yok",R29&gt;300,R29&lt;=400),C37,IF(AND(I17="Yok",R29&gt;400,R29&lt;=500),C35,IF(AND(I17="Yok",R29&gt;500),C34,"")))),IF(AND(I17="Var",J23=f,R29&gt;0,R29&lt;=200),(IF(AND(I17="Var",R29&gt;0,R29&lt;=100),C39,IF(AND(I17="Var",R29&gt;100,R29&lt;=200),C38,""))),IF(AND(I17="Var",J23=f,R29&gt;200,R29&lt;=400),(IF(AND(I17="Var",R29&gt;200,R29&lt;=300),C36,IF(AND(I17="Var",R29&gt;300,R29&lt;=400),C36,""))),IF(AND(I17="Var",R29&gt;400,R29&lt;=500),C38,IF(AND(I17="Var",R29&gt;500),C39,"")))))))</f>
        <v>    ■ MATİT : ''Makina  'Tasarım ve İmalat'  Teknolojileri Kongresi''   ■ İki Yılda Bir Yapılmaktadır.</v>
      </c>
      <c r="D30" s="73"/>
      <c r="E30" s="73"/>
      <c r="F30" s="73"/>
      <c r="G30" s="73"/>
      <c r="H30" s="73"/>
      <c r="I30" s="73"/>
      <c r="J30" s="73"/>
      <c r="K30" s="74"/>
      <c r="L30" s="52"/>
      <c r="M30" s="75"/>
      <c r="N30" s="296" t="str">
        <f>IF(AND(D22="",D23="",J23&lt;&gt;"",J23=f,R29&gt;0),"NOT : PB, TB ve MDÜ Hesaplamalarında, YKR 'lar YTL 'na Yuvarlanmıştır.",IF(AND(D22&lt;&gt;"",D23&lt;&gt;"",J23&lt;&gt;"",J23=f,R29&gt;0),"NOT : PB, TB, MDÜ ve AAP Hesaplamalarında, YKR 'lar YTL 'na Yuvarlanmıştır.",""))</f>
        <v>NOT : PB, TB ve MDÜ Hesaplamalarında, YKR 'lar YTL 'na Yuvarlanmıştır.</v>
      </c>
      <c r="O30" s="76"/>
      <c r="P30" s="76"/>
      <c r="Q30" s="76"/>
      <c r="R30" s="76"/>
      <c r="S30" s="76"/>
      <c r="T30" s="76"/>
      <c r="U30" s="77"/>
      <c r="V30" s="373"/>
      <c r="W30" s="1"/>
    </row>
    <row r="31" spans="1:23" ht="12" customHeight="1" thickBot="1">
      <c r="A31" s="81"/>
      <c r="B31" s="374"/>
      <c r="C31" s="375"/>
      <c r="D31" s="375"/>
      <c r="E31" s="375"/>
      <c r="F31" s="375"/>
      <c r="G31" s="375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7" t="str">
        <f>IF(J23=f,"Hazırlayan : Nasıf ÇELİKKAYA {0532 401 51 91}","MMO Konya Şube;  Daima YANINIZDA, Daima SİZİNLE...")</f>
        <v>Hazırlayan : Nasıf ÇELİKKAYA {0532 401 51 91}</v>
      </c>
      <c r="U31" s="376"/>
      <c r="V31" s="378"/>
      <c r="W31" s="1"/>
    </row>
    <row r="32" spans="1:23" ht="15" customHeight="1" thickTop="1">
      <c r="A32" s="81"/>
      <c r="B32" s="81"/>
      <c r="C32" s="83"/>
      <c r="D32" s="83"/>
      <c r="E32" s="361"/>
      <c r="F32" s="83"/>
      <c r="G32" s="83"/>
      <c r="H32" s="83"/>
      <c r="I32" s="83"/>
      <c r="J32" s="83"/>
      <c r="K32" s="83"/>
      <c r="L32" s="1"/>
      <c r="M32" s="1"/>
      <c r="N32" s="1"/>
      <c r="O32" s="1"/>
      <c r="P32" s="1"/>
      <c r="Q32" s="1"/>
      <c r="R32" s="1"/>
      <c r="S32" s="1"/>
      <c r="T32" s="337" t="s">
        <v>153</v>
      </c>
      <c r="U32" s="1"/>
      <c r="V32" s="1"/>
      <c r="W32" s="1"/>
    </row>
    <row r="33" spans="1:15" ht="12.75" customHeight="1" hidden="1">
      <c r="A33" s="35"/>
      <c r="B33" s="332" t="s">
        <v>146</v>
      </c>
      <c r="C33" s="315" t="s">
        <v>159</v>
      </c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</row>
    <row r="34" spans="1:15" ht="12.75" customHeight="1" hidden="1">
      <c r="A34" s="35"/>
      <c r="B34" s="332" t="s">
        <v>147</v>
      </c>
      <c r="C34" s="316" t="s">
        <v>164</v>
      </c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</row>
    <row r="35" spans="1:15" ht="12.75" customHeight="1" hidden="1">
      <c r="A35" s="35"/>
      <c r="B35" s="332" t="s">
        <v>148</v>
      </c>
      <c r="C35" s="315" t="s">
        <v>161</v>
      </c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</row>
    <row r="36" spans="1:15" ht="12.75" customHeight="1" hidden="1">
      <c r="A36" s="35"/>
      <c r="B36" s="332" t="s">
        <v>149</v>
      </c>
      <c r="C36" s="316" t="s">
        <v>162</v>
      </c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</row>
    <row r="37" spans="1:15" ht="12.75" customHeight="1" hidden="1">
      <c r="A37" s="35"/>
      <c r="B37" s="332" t="s">
        <v>150</v>
      </c>
      <c r="C37" s="315" t="s">
        <v>158</v>
      </c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</row>
    <row r="38" spans="1:15" ht="12.75" customHeight="1" hidden="1">
      <c r="A38" s="35"/>
      <c r="B38" s="332" t="s">
        <v>151</v>
      </c>
      <c r="C38" s="316" t="s">
        <v>163</v>
      </c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</row>
    <row r="39" spans="2:15" ht="12.75" customHeight="1" hidden="1">
      <c r="B39" s="332" t="s">
        <v>152</v>
      </c>
      <c r="C39" s="315" t="s">
        <v>160</v>
      </c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</row>
    <row r="40" ht="12.75" customHeight="1" hidden="1"/>
    <row r="41" spans="2:15" ht="12.75" customHeight="1" hidden="1">
      <c r="B41" s="332" t="s">
        <v>154</v>
      </c>
      <c r="C41" s="340">
        <f ca="1">IF(AND(TODAY()&lt;=DATE(VALUE(TEXT(TODAY(),"yyyy")),6,30),R29&lt;&gt;"",ISNUMBER(R29),R29&gt;0),1,IF(AND(TODAY()&gt;DATE(VALUE(TEXT(TODAY(),"yyyy")),6,30),R29&lt;&gt;"",ISNUMBER(R29),R29&gt;0),2,""))</f>
        <v>2</v>
      </c>
      <c r="D41" s="315" t="str">
        <f ca="1">IF(AND(TODAY()&lt;=DATE(VALUE(TEXT(TODAY(),"yyyy")),6,30),R29&lt;&gt;"",ISNUMBER(R29),R29&gt;0),"                            {1 Ocak - 30 Haziran "&amp;TEXT(TODAY(),"yyyy")&amp;" Tarihleri Arasında Geçerlidir.}",IF(AND(TODAY()&gt;DATE(VALUE(TEXT(TODAY(),"yyyy")),6,30),R29&lt;&gt;"",ISNUMBER(R29),R29&gt;0),"                           {1 Temmuz - 31 Aralık "&amp;TEXT(TODAY(),"yyyy")&amp;" Tarihleri Arasında Geçerlidir.}",""))</f>
        <v>                           {1 Temmuz - 31 Aralık 2008 Tarihleri Arasında Geçerlidir.}</v>
      </c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</row>
    <row r="42" ht="12.75" customHeight="1" hidden="1"/>
    <row r="43" spans="2:15" ht="12.75" customHeight="1" hidden="1">
      <c r="B43" s="332" t="s">
        <v>165</v>
      </c>
      <c r="C43" s="385">
        <f>VALUE('mmo.hp'!M41)</f>
        <v>0</v>
      </c>
      <c r="D43" s="385"/>
      <c r="E43" s="385"/>
      <c r="F43" s="315"/>
      <c r="G43" s="315"/>
      <c r="H43" s="315"/>
      <c r="I43" s="315"/>
      <c r="J43" s="315"/>
      <c r="K43" s="315"/>
      <c r="L43" s="315"/>
      <c r="M43" s="315"/>
      <c r="N43" s="315"/>
      <c r="O43" s="315"/>
    </row>
    <row r="44" spans="2:15" ht="12.75" customHeight="1" hidden="1">
      <c r="B44" s="332" t="s">
        <v>166</v>
      </c>
      <c r="C44" s="386">
        <f>VALUE('mmo.hp'!M42)</f>
        <v>0</v>
      </c>
      <c r="D44" s="386"/>
      <c r="E44" s="386"/>
      <c r="F44" s="316"/>
      <c r="G44" s="316"/>
      <c r="H44" s="316"/>
      <c r="I44" s="316"/>
      <c r="J44" s="316"/>
      <c r="K44" s="316"/>
      <c r="L44" s="316"/>
      <c r="M44" s="316"/>
      <c r="N44" s="316"/>
      <c r="O44" s="316"/>
    </row>
    <row r="45" ht="12.75" customHeight="1" hidden="1"/>
    <row r="46" spans="3:15" ht="12.75" customHeight="1" hidden="1">
      <c r="C46" s="315" t="e">
        <f>IF(AND(I13&lt;&gt;"",ISNUMBER(I13),I13&gt;=1,I13&lt;=80000,OR(I15=j,I15=ja,I15=jb,I15=jc,I15=jd,I15=je,I15=jf,I15=jg,I15=jh,I15=ji,I15=jj),OR(I17="Var",I17="Yok"),I19&lt;&gt;"",ISNUMBER(I19),I19&gt;=1,I19&lt;=80000,I21&lt;&gt;"",ISNUMBER(I21),I21&gt;=0,I21&lt;=99),e,0)</f>
        <v>#VALUE!</v>
      </c>
      <c r="D46" s="315" t="s">
        <v>182</v>
      </c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</row>
  </sheetData>
  <sheetProtection password="8921" sheet="1" objects="1" scenarios="1"/>
  <mergeCells count="14">
    <mergeCell ref="C43:E43"/>
    <mergeCell ref="C44:E44"/>
    <mergeCell ref="R29:S29"/>
    <mergeCell ref="R19:S19"/>
    <mergeCell ref="R21:S21"/>
    <mergeCell ref="R22:S22"/>
    <mergeCell ref="R23:S23"/>
    <mergeCell ref="R28:S28"/>
    <mergeCell ref="R27:S27"/>
    <mergeCell ref="R13:S13"/>
    <mergeCell ref="R14:S14"/>
    <mergeCell ref="R17:S17"/>
    <mergeCell ref="R18:S18"/>
    <mergeCell ref="R15:S15"/>
  </mergeCells>
  <conditionalFormatting sqref="C30">
    <cfRule type="expression" priority="1" dxfId="0" stopIfTrue="1">
      <formula>R29=0</formula>
    </cfRule>
    <cfRule type="expression" priority="2" dxfId="1" stopIfTrue="1">
      <formula>AND(I17="Var",R29&gt;0,OR(C30=C34,C30=C35,C30=C36,C30=C37,C30=C38,C30=C39))</formula>
    </cfRule>
  </conditionalFormatting>
  <conditionalFormatting sqref="T31">
    <cfRule type="expression" priority="3" dxfId="2" stopIfTrue="1">
      <formula>OR(J23="",J23=h,ISNUMBER(J23),AND(ISTEXT(J23),J23&lt;&gt;f))</formula>
    </cfRule>
  </conditionalFormatting>
  <conditionalFormatting sqref="E22:H22">
    <cfRule type="expression" priority="4" dxfId="3" stopIfTrue="1">
      <formula>$D$22&lt;&gt;""</formula>
    </cfRule>
  </conditionalFormatting>
  <conditionalFormatting sqref="D22">
    <cfRule type="expression" priority="5" dxfId="4" stopIfTrue="1">
      <formula>$D$22&lt;&gt;""</formula>
    </cfRule>
  </conditionalFormatting>
  <conditionalFormatting sqref="D23">
    <cfRule type="expression" priority="6" dxfId="5" stopIfTrue="1">
      <formula>$D$23&lt;&gt;""</formula>
    </cfRule>
  </conditionalFormatting>
  <conditionalFormatting sqref="E23:H23">
    <cfRule type="expression" priority="7" dxfId="5" stopIfTrue="1">
      <formula>$D$23&lt;&gt;""</formula>
    </cfRule>
  </conditionalFormatting>
  <conditionalFormatting sqref="I23">
    <cfRule type="expression" priority="8" dxfId="6" stopIfTrue="1">
      <formula>AND(J23&lt;&gt;"",ISNUMBER(J23))</formula>
    </cfRule>
  </conditionalFormatting>
  <conditionalFormatting sqref="G10 Q10">
    <cfRule type="expression" priority="9" dxfId="7" stopIfTrue="1">
      <formula>AND($I$12="▼",$J$22="",$J$23=h)</formula>
    </cfRule>
    <cfRule type="expression" priority="10" dxfId="8" stopIfTrue="1">
      <formula>AND($I$12="",$J$22="",$J$23=f)</formula>
    </cfRule>
    <cfRule type="expression" priority="11" dxfId="9" stopIfTrue="1">
      <formula>OR(AND($I$12="▼",$J$22="",$J$23=""),AND($I$12="▼",$J$22="",$J$23=f))</formula>
    </cfRule>
  </conditionalFormatting>
  <conditionalFormatting sqref="D11">
    <cfRule type="expression" priority="12" dxfId="7" stopIfTrue="1">
      <formula>AND($I$12="▼",$J$22="",$J$23=h)</formula>
    </cfRule>
    <cfRule type="expression" priority="13" dxfId="8" stopIfTrue="1">
      <formula>AND($I$12="",$J$22="",$J$23=f)</formula>
    </cfRule>
    <cfRule type="expression" priority="14" dxfId="9" stopIfTrue="1">
      <formula>OR(AND($I$12="▼",$J$22="",$J$23=""),AND($I$12="▼",$J$22="",$J$23=f))</formula>
    </cfRule>
  </conditionalFormatting>
  <conditionalFormatting sqref="M11">
    <cfRule type="expression" priority="15" dxfId="7" stopIfTrue="1">
      <formula>AND($I$12="▼",$J$22="",$J$23=h)</formula>
    </cfRule>
    <cfRule type="expression" priority="16" dxfId="10" stopIfTrue="1">
      <formula>AND($I$12="",$J$22="",$J$23=f)</formula>
    </cfRule>
    <cfRule type="expression" priority="17" dxfId="9" stopIfTrue="1">
      <formula>OR(AND($I$12="▼",$J$22="",$J$23=""),AND($I$12="▼",$J$22="",$J$23=f))</formula>
    </cfRule>
  </conditionalFormatting>
  <conditionalFormatting sqref="I12">
    <cfRule type="expression" priority="18" dxfId="11" stopIfTrue="1">
      <formula>AND($I$12="▼",$J$22="",$J$23=h)</formula>
    </cfRule>
    <cfRule type="expression" priority="19" dxfId="12" stopIfTrue="1">
      <formula>OR(AND($I$12="▼",$J$22="",$J$23=""),AND($I$12="▼",$J$22="",$J$23=f))</formula>
    </cfRule>
  </conditionalFormatting>
  <conditionalFormatting sqref="C9:K9 C10:C11 D10:F10 H10:K10 E11:K11 Q11 T9:U11 R10:S11 M9:O10 N11:O11 P9:S9 P10:P11">
    <cfRule type="expression" priority="20" dxfId="7" stopIfTrue="1">
      <formula>AND($I$12="▼",$J$23=h)</formula>
    </cfRule>
  </conditionalFormatting>
  <conditionalFormatting sqref="I13">
    <cfRule type="expression" priority="21" dxfId="13" stopIfTrue="1">
      <formula>OR(I13="",AND(I13&lt;&gt;"",ISNUMBER(I13),OR(I13&lt;=0,I13&gt;80000)),AND(I13&lt;&gt;"",ISTEXT(I13)))</formula>
    </cfRule>
  </conditionalFormatting>
  <conditionalFormatting sqref="I15">
    <cfRule type="expression" priority="22" dxfId="13" stopIfTrue="1">
      <formula>OR(I15=h,I15="",AND(I15&lt;&gt;"",I15&lt;&gt;j,I15&lt;&gt;ja,I15&lt;&gt;jb,I15&lt;&gt;jc,I15&lt;&gt;jd,I15&lt;&gt;je,I15&lt;&gt;jf,I15&lt;&gt;jg,I15&lt;&gt;jh,I15&lt;&gt;ji,I15&lt;&gt;jj))</formula>
    </cfRule>
  </conditionalFormatting>
  <conditionalFormatting sqref="I19">
    <cfRule type="expression" priority="23" dxfId="13" stopIfTrue="1">
      <formula>OR(I19="",AND(I19&lt;&gt;"",ISTEXT(I19)),AND(I19&lt;&gt;"",ISNUMBER(I19),I19&lt;=0),AND(I19&lt;&gt;"",ISNUMBER(I19),I19&gt;80000))</formula>
    </cfRule>
  </conditionalFormatting>
  <conditionalFormatting sqref="I21">
    <cfRule type="expression" priority="24" dxfId="13" stopIfTrue="1">
      <formula>OR(I21="",AND(I21&lt;&gt;"",ISTEXT(I21)),AND(I21&lt;&gt;"",ISNUMBER(I21),I21&lt;0),AND(I21&lt;&gt;"",ISNUMBER(I21),I21&gt;99))</formula>
    </cfRule>
  </conditionalFormatting>
  <conditionalFormatting sqref="J23">
    <cfRule type="expression" priority="25" dxfId="14" stopIfTrue="1">
      <formula>J23=h</formula>
    </cfRule>
    <cfRule type="expression" priority="26" dxfId="15" stopIfTrue="1">
      <formula>OR(J23="",AND(J23&lt;&gt;"",ISNUMBER(J23)))</formula>
    </cfRule>
    <cfRule type="expression" priority="27" dxfId="16" stopIfTrue="1">
      <formula>AND(J23&lt;&gt;"",ISTEXT(J23),J23&lt;&gt;f,J23&lt;&gt;h)</formula>
    </cfRule>
  </conditionalFormatting>
  <conditionalFormatting sqref="R13:S13 R17:S17 R21:S21">
    <cfRule type="expression" priority="28" dxfId="3" stopIfTrue="1">
      <formula>R13&gt;0</formula>
    </cfRule>
    <cfRule type="expression" priority="29" dxfId="17" stopIfTrue="1">
      <formula>R13=0</formula>
    </cfRule>
  </conditionalFormatting>
  <conditionalFormatting sqref="R14:S14 R18:S18 R22:S22">
    <cfRule type="expression" priority="30" dxfId="18" stopIfTrue="1">
      <formula>R14&gt;0</formula>
    </cfRule>
    <cfRule type="expression" priority="31" dxfId="17" stopIfTrue="1">
      <formula>R14=0</formula>
    </cfRule>
  </conditionalFormatting>
  <conditionalFormatting sqref="T13 T17 T21">
    <cfRule type="expression" priority="32" dxfId="3" stopIfTrue="1">
      <formula>R13&gt;0</formula>
    </cfRule>
    <cfRule type="expression" priority="33" dxfId="17" stopIfTrue="1">
      <formula>R13=0</formula>
    </cfRule>
  </conditionalFormatting>
  <conditionalFormatting sqref="T14 T18 T22">
    <cfRule type="expression" priority="34" dxfId="18" stopIfTrue="1">
      <formula>R14&gt;0</formula>
    </cfRule>
    <cfRule type="expression" priority="35" dxfId="17" stopIfTrue="1">
      <formula>R14=0</formula>
    </cfRule>
  </conditionalFormatting>
  <conditionalFormatting sqref="R23:S23 R19:S19">
    <cfRule type="expression" priority="36" dxfId="7" stopIfTrue="1">
      <formula>R19&gt;0</formula>
    </cfRule>
    <cfRule type="expression" priority="37" dxfId="17" stopIfTrue="1">
      <formula>R19=0</formula>
    </cfRule>
  </conditionalFormatting>
  <conditionalFormatting sqref="T15 T23">
    <cfRule type="expression" priority="38" dxfId="7" stopIfTrue="1">
      <formula>R15&gt;0</formula>
    </cfRule>
    <cfRule type="expression" priority="39" dxfId="17" stopIfTrue="1">
      <formula>R15=0</formula>
    </cfRule>
  </conditionalFormatting>
  <conditionalFormatting sqref="R27:S27">
    <cfRule type="expression" priority="40" dxfId="19" stopIfTrue="1">
      <formula>R27=0</formula>
    </cfRule>
  </conditionalFormatting>
  <conditionalFormatting sqref="T27">
    <cfRule type="expression" priority="41" dxfId="19" stopIfTrue="1">
      <formula>R27=0</formula>
    </cfRule>
  </conditionalFormatting>
  <conditionalFormatting sqref="R29:S29">
    <cfRule type="expression" priority="42" dxfId="20" stopIfTrue="1">
      <formula>R29=0</formula>
    </cfRule>
  </conditionalFormatting>
  <conditionalFormatting sqref="T29">
    <cfRule type="expression" priority="43" dxfId="20" stopIfTrue="1">
      <formula>R29=0</formula>
    </cfRule>
  </conditionalFormatting>
  <conditionalFormatting sqref="I17">
    <cfRule type="expression" priority="44" dxfId="13" stopIfTrue="1">
      <formula>OR(I17=h,I17="",AND(I17&lt;&gt;"",I17&lt;&gt;"Var",I17&lt;&gt;"Yok"))</formula>
    </cfRule>
  </conditionalFormatting>
  <conditionalFormatting sqref="B2:F7 G7:P7 G3:G6 G2:P2 Q2:V7">
    <cfRule type="expression" priority="45" dxfId="21" stopIfTrue="1">
      <formula>$R$29&gt;=0</formula>
    </cfRule>
  </conditionalFormatting>
  <conditionalFormatting sqref="H3:P6">
    <cfRule type="expression" priority="46" dxfId="22" stopIfTrue="1">
      <formula>$R$29&gt;=0</formula>
    </cfRule>
  </conditionalFormatting>
  <conditionalFormatting sqref="C26:K29">
    <cfRule type="expression" priority="47" dxfId="23" stopIfTrue="1">
      <formula>$R$29&gt;=0</formula>
    </cfRule>
  </conditionalFormatting>
  <conditionalFormatting sqref="R28:S28">
    <cfRule type="expression" priority="48" dxfId="24" stopIfTrue="1">
      <formula>R28&gt;0</formula>
    </cfRule>
    <cfRule type="expression" priority="49" dxfId="25" stopIfTrue="1">
      <formula>R28=0</formula>
    </cfRule>
  </conditionalFormatting>
  <conditionalFormatting sqref="T28">
    <cfRule type="expression" priority="50" dxfId="24" stopIfTrue="1">
      <formula>R28&gt;0</formula>
    </cfRule>
    <cfRule type="expression" priority="51" dxfId="25" stopIfTrue="1">
      <formula>R28=0</formula>
    </cfRule>
  </conditionalFormatting>
  <conditionalFormatting sqref="R15:S15">
    <cfRule type="expression" priority="52" dxfId="7" stopIfTrue="1">
      <formula>R15&gt;0</formula>
    </cfRule>
    <cfRule type="expression" priority="53" dxfId="17" stopIfTrue="1">
      <formula>R15=0</formula>
    </cfRule>
  </conditionalFormatting>
  <conditionalFormatting sqref="T19">
    <cfRule type="expression" priority="54" dxfId="7" stopIfTrue="1">
      <formula>R19&gt;0</formula>
    </cfRule>
    <cfRule type="expression" priority="55" dxfId="17" stopIfTrue="1">
      <formula>R19=0</formula>
    </cfRule>
  </conditionalFormatting>
  <conditionalFormatting sqref="N16">
    <cfRule type="expression" priority="56" dxfId="26" stopIfTrue="1">
      <formula>AND($I$17="Var",$I$19=1,$J$23=f)</formula>
    </cfRule>
  </conditionalFormatting>
  <conditionalFormatting sqref="O16:T16">
    <cfRule type="expression" priority="57" dxfId="26" stopIfTrue="1">
      <formula>AND($I$17="Var",$I$19=1,$J$23=f)</formula>
    </cfRule>
  </conditionalFormatting>
  <conditionalFormatting sqref="N20">
    <cfRule type="expression" priority="58" dxfId="27" stopIfTrue="1">
      <formula>AND($I$17="Var",$I$19=1,$J$23=f)</formula>
    </cfRule>
  </conditionalFormatting>
  <conditionalFormatting sqref="T8">
    <cfRule type="expression" priority="59" dxfId="28" stopIfTrue="1">
      <formula>OR(TEXT(TODAY(),"gggg")="Cumartesi",TEXT(TODAY(),"gggg")="Pazar")</formula>
    </cfRule>
  </conditionalFormatting>
  <dataValidations count="5">
    <dataValidation type="list" allowBlank="1" showInputMessage="1" showErrorMessage="1" errorTitle="MMO Konya Şube" error="                         Lütfen ''AÇILIR LİSTE'' den Seçim Yapınız.&#10;                                                  &lt;veya&gt;&#10;{ 1,2,3A,3B,4A,4B,4C,5A,5B,5C,5D } Kriterlerinden Uygun Olanı Giriniz." sqref="I15">
      <formula1>IF(AND(I13&lt;&gt;"",ISNUMBER(I13),I13&gt;=1,I13&lt;=80000,OR(I17="Var",I17="Yok"),I19&lt;&gt;"",ISNUMBER(I19),I19&gt;=1,I19&lt;=80000,I21&lt;&gt;"",ISNUMBER(I21),I21&gt;=0,I21&lt;=99),i,0)</formula1>
    </dataValidation>
    <dataValidation type="list" allowBlank="1" showInputMessage="1" showErrorMessage="1" errorTitle="MMO KOnya Şube" error="               Lütfen &quot;AÇILIR LİSTE&quot; den Seçim Yapınız.&#10;                                        &lt;veya&gt;&#10;{ &quot;SEÇİNİZ&quot; , &quot;HESAPLA&quot; } Komutlarından Uygun Olanı Giriniz." sqref="J23">
      <formula1>e</formula1>
    </dataValidation>
    <dataValidation type="whole" allowBlank="1" showInputMessage="1" showErrorMessage="1" errorTitle="MMO Konya Şube" error="{ 1, ... ,80.000 }  Arasında Bir Değer Giriniz." sqref="I13 I19">
      <formula1>1</formula1>
      <formula2>80000</formula2>
    </dataValidation>
    <dataValidation type="list" allowBlank="1" showInputMessage="1" showErrorMessage="1" errorTitle="MMO Konya Şube" error="          Lütfen ''AÇILIR LİSTE'' den Seçim Yapınız.                           &#10;                                    &lt;veya&gt;&#10;           { 0, ... ,99 }  Arasında Bir Değer Giriniz." sqref="I21">
      <formula1>IF(AND(I13&lt;&gt;"",ISNUMBER(I13),I13&gt;=1,I13&lt;=80000,I15&lt;&gt;"",I15&lt;&gt;h,OR(I17="Var",I17="Yok"),I19&lt;&gt;"",ISNUMBER(I19),I19&gt;=1,I19&lt;=80000),o,0)</formula1>
    </dataValidation>
    <dataValidation type="list" allowBlank="1" showInputMessage="1" showErrorMessage="1" errorTitle="MMO Konya Şube" error="             Lütfen ''AÇILIR LİSTE'' den Seçim Yapınız.                           &#10;                                      &lt;veya&gt;&#10;      { &quot;Var&quot; , &quot;Yok&quot; }  Kriterlerinden Uygun Olanı Giriniz." sqref="I17">
      <formula1>IF(AND(I13&lt;&gt;"",ISNUMBER(I13),I13&gt;=1,I13&lt;=80000,I15&lt;&gt;"",I15&lt;&gt;h,I19&lt;&gt;"",ISNUMBER(I19),I21&lt;&gt;"",ISNUMBER(I21),I21&gt;=0,I21&lt;=99),(IF(I19=1,d,IF(AND(I19&gt;1,I19&lt;=80000),d,0))),0)</formula1>
    </dataValidation>
  </dataValidations>
  <printOptions horizontalCentered="1" verticalCentered="1"/>
  <pageMargins left="0" right="0" top="0.7874015748031497" bottom="0.7874015748031497" header="0.5118110236220472" footer="0.5118110236220472"/>
  <pageSetup blackAndWhite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6"/>
  <sheetViews>
    <sheetView workbookViewId="0" topLeftCell="A1">
      <selection activeCell="L36" sqref="L36"/>
    </sheetView>
  </sheetViews>
  <sheetFormatPr defaultColWidth="9.140625" defaultRowHeight="12.75" zeroHeight="1"/>
  <cols>
    <col min="1" max="1" width="2.7109375" style="2" customWidth="1"/>
    <col min="2" max="15" width="6.7109375" style="2" customWidth="1"/>
    <col min="16" max="16" width="2.7109375" style="2" hidden="1" customWidth="1"/>
    <col min="17" max="17" width="2.7109375" style="2" customWidth="1"/>
    <col min="18" max="16384" width="9.140625" style="2" hidden="1" customWidth="1"/>
  </cols>
  <sheetData>
    <row r="1" spans="1:17" ht="12.75" customHeight="1">
      <c r="A1" s="1"/>
      <c r="B1" s="1"/>
      <c r="C1" s="1"/>
      <c r="D1" s="1"/>
      <c r="E1" s="1"/>
      <c r="F1" s="1"/>
      <c r="G1" s="1"/>
      <c r="H1" s="1"/>
      <c r="I1" s="49"/>
      <c r="J1" s="1"/>
      <c r="K1" s="1"/>
      <c r="L1" s="49"/>
      <c r="M1" s="49"/>
      <c r="N1" s="49"/>
      <c r="O1" s="1"/>
      <c r="P1" s="321" t="s">
        <v>24</v>
      </c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36"/>
      <c r="L2" s="1"/>
      <c r="M2" s="1"/>
      <c r="N2" s="1"/>
      <c r="O2" s="1"/>
      <c r="P2" s="320">
        <v>0</v>
      </c>
      <c r="Q2" s="1"/>
    </row>
    <row r="3" spans="1:17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20">
        <v>1</v>
      </c>
      <c r="Q3" s="1"/>
    </row>
    <row r="4" spans="1:17" ht="12.75" customHeight="1" thickBot="1">
      <c r="A4" s="1"/>
      <c r="B4" s="1"/>
      <c r="C4" s="1"/>
      <c r="D4" s="1"/>
      <c r="E4" s="1"/>
      <c r="F4" s="1"/>
      <c r="G4" s="265" t="s">
        <v>34</v>
      </c>
      <c r="H4" s="265" t="s">
        <v>33</v>
      </c>
      <c r="I4" s="265" t="s">
        <v>27</v>
      </c>
      <c r="J4" s="265" t="s">
        <v>28</v>
      </c>
      <c r="K4" s="265" t="s">
        <v>29</v>
      </c>
      <c r="L4" s="265" t="s">
        <v>30</v>
      </c>
      <c r="M4" s="265" t="s">
        <v>31</v>
      </c>
      <c r="N4" s="265" t="s">
        <v>45</v>
      </c>
      <c r="O4" s="1"/>
      <c r="P4" s="320">
        <v>2</v>
      </c>
      <c r="Q4" s="1"/>
    </row>
    <row r="5" spans="1:17" ht="12.75" customHeight="1">
      <c r="A5" s="100" t="s">
        <v>116</v>
      </c>
      <c r="B5" s="1"/>
      <c r="C5" s="1"/>
      <c r="D5" s="1"/>
      <c r="E5" s="1"/>
      <c r="F5" s="1"/>
      <c r="G5" s="145" t="s">
        <v>73</v>
      </c>
      <c r="H5" s="42"/>
      <c r="I5" s="42"/>
      <c r="J5" s="42"/>
      <c r="K5" s="42"/>
      <c r="L5" s="42"/>
      <c r="M5" s="42"/>
      <c r="N5" s="44"/>
      <c r="O5" s="1"/>
      <c r="P5" s="320">
        <v>3</v>
      </c>
      <c r="Q5" s="1"/>
    </row>
    <row r="6" spans="1:17" ht="12.75" customHeight="1" thickBot="1">
      <c r="A6" s="1"/>
      <c r="B6" s="101" t="s">
        <v>121</v>
      </c>
      <c r="C6" s="1"/>
      <c r="D6" s="1"/>
      <c r="E6" s="1"/>
      <c r="F6" s="1"/>
      <c r="G6" s="102"/>
      <c r="H6" s="103"/>
      <c r="I6" s="103"/>
      <c r="J6" s="104" t="s">
        <v>77</v>
      </c>
      <c r="K6" s="103"/>
      <c r="L6" s="103"/>
      <c r="M6" s="103"/>
      <c r="N6" s="105"/>
      <c r="O6" s="1"/>
      <c r="P6" s="320">
        <v>4</v>
      </c>
      <c r="Q6" s="1"/>
    </row>
    <row r="7" spans="1:17" ht="12.75" customHeight="1" thickBot="1">
      <c r="A7" s="1"/>
      <c r="B7" s="1"/>
      <c r="C7" s="245" t="s">
        <v>117</v>
      </c>
      <c r="D7" s="248">
        <f>AnaSayfa!I13</f>
        <v>6836</v>
      </c>
      <c r="E7" s="1"/>
      <c r="F7" s="1"/>
      <c r="G7" s="130" t="s">
        <v>65</v>
      </c>
      <c r="H7" s="131" t="s">
        <v>66</v>
      </c>
      <c r="I7" s="132" t="s">
        <v>71</v>
      </c>
      <c r="J7" s="133" t="s">
        <v>72</v>
      </c>
      <c r="K7" s="106"/>
      <c r="L7" s="140" t="s">
        <v>75</v>
      </c>
      <c r="M7" s="109"/>
      <c r="N7" s="141" t="s">
        <v>12</v>
      </c>
      <c r="O7" s="1"/>
      <c r="P7" s="320">
        <v>5</v>
      </c>
      <c r="Q7" s="1"/>
    </row>
    <row r="8" spans="1:17" ht="12.75" customHeight="1" thickBot="1">
      <c r="A8" s="1"/>
      <c r="B8" s="1"/>
      <c r="C8" s="245" t="s">
        <v>118</v>
      </c>
      <c r="D8" s="295">
        <f>AnaSayfa!I15</f>
        <v>2</v>
      </c>
      <c r="E8" s="249" t="s">
        <v>115</v>
      </c>
      <c r="F8" s="10"/>
      <c r="G8" s="224" t="s">
        <v>67</v>
      </c>
      <c r="H8" s="237" t="s">
        <v>68</v>
      </c>
      <c r="I8" s="226" t="s">
        <v>69</v>
      </c>
      <c r="J8" s="239" t="s">
        <v>70</v>
      </c>
      <c r="K8" s="142" t="s">
        <v>35</v>
      </c>
      <c r="L8" s="209" t="s">
        <v>35</v>
      </c>
      <c r="M8" s="207" t="s">
        <v>74</v>
      </c>
      <c r="N8" s="212" t="s">
        <v>84</v>
      </c>
      <c r="O8" s="1"/>
      <c r="P8" s="320">
        <v>6</v>
      </c>
      <c r="Q8" s="1"/>
    </row>
    <row r="9" spans="1:17" ht="12.75" customHeight="1" thickBot="1">
      <c r="A9" s="1"/>
      <c r="B9" s="1"/>
      <c r="C9" s="245" t="s">
        <v>119</v>
      </c>
      <c r="D9" s="247" t="str">
        <f>AnaSayfa!I17</f>
        <v>Var</v>
      </c>
      <c r="E9" s="255" t="s">
        <v>112</v>
      </c>
      <c r="F9" s="250" t="s">
        <v>111</v>
      </c>
      <c r="G9" s="225" t="s">
        <v>113</v>
      </c>
      <c r="H9" s="238" t="s">
        <v>114</v>
      </c>
      <c r="I9" s="227" t="s">
        <v>63</v>
      </c>
      <c r="J9" s="240" t="s">
        <v>63</v>
      </c>
      <c r="K9" s="143" t="s">
        <v>36</v>
      </c>
      <c r="L9" s="206" t="str">
        <f>D10&amp;" Blok"</f>
        <v>1 Blok</v>
      </c>
      <c r="M9" s="208" t="str">
        <f>D10&amp;" Blok"</f>
        <v>1 Blok</v>
      </c>
      <c r="N9" s="218" t="str">
        <f>D10&amp;" Blok"</f>
        <v>1 Blok</v>
      </c>
      <c r="O9" s="1"/>
      <c r="P9" s="320">
        <v>7</v>
      </c>
      <c r="Q9" s="1"/>
    </row>
    <row r="10" spans="1:17" ht="12.75" customHeight="1">
      <c r="A10" s="1"/>
      <c r="B10" s="1"/>
      <c r="C10" s="246" t="s">
        <v>120</v>
      </c>
      <c r="D10" s="248">
        <f>AnaSayfa!I19</f>
        <v>1</v>
      </c>
      <c r="E10" s="256">
        <v>0</v>
      </c>
      <c r="F10" s="251">
        <v>250</v>
      </c>
      <c r="G10" s="148">
        <f>IF(AND(D7&gt;0,D7&lt;=250),0,0)</f>
        <v>0</v>
      </c>
      <c r="H10" s="150">
        <f>IF(AND(D7&gt;0,D7&lt;=250),250,0)</f>
        <v>0</v>
      </c>
      <c r="I10" s="223">
        <f>IF(AND(H10&gt;0,H10&lt;=250),0,0)</f>
        <v>0</v>
      </c>
      <c r="J10" s="241">
        <f>IF(AND(H10&gt;0,H10&lt;=250),VLOOKUP(H10,k,MATCH(D8,i,1),0),0)</f>
        <v>0</v>
      </c>
      <c r="K10" s="205">
        <f>IF(H10&gt;0,SUM(I10,PRODUCT(SUM(J10,-I10),1/SUM(H10,-G10),SUM(D7,-G10))),0)</f>
        <v>0</v>
      </c>
      <c r="L10" s="149">
        <f>IF(H10&gt;0,PRODUCT(SUM(I10,PRODUCT(SUM(J10,-I10),1/SUM(H10,-G10),SUM(D7,-G10))),D10),0)</f>
        <v>0</v>
      </c>
      <c r="M10" s="144">
        <f>IF(H10&gt;0,PRODUCT(SUM(I10,PRODUCT(SUM(J10,-I10),1/SUM(H10,-G10),SUM(D7,-G10))),VLOOKUP(D10,aa,2,0)),0)</f>
        <v>0</v>
      </c>
      <c r="N10" s="214">
        <f>IF(H10&gt;0,PRODUCT(SUM(I10,PRODUCT(SUM(J10,-I10),1/SUM(H10,-G10),SUM(D7,-G10))),D10),0)</f>
        <v>0</v>
      </c>
      <c r="O10" s="1"/>
      <c r="P10" s="320">
        <v>8</v>
      </c>
      <c r="Q10" s="1"/>
    </row>
    <row r="11" spans="1:17" ht="12.75" customHeight="1">
      <c r="A11" s="1"/>
      <c r="B11" s="1"/>
      <c r="C11" s="1"/>
      <c r="D11" s="1"/>
      <c r="E11" s="257">
        <v>250</v>
      </c>
      <c r="F11" s="252">
        <v>1000</v>
      </c>
      <c r="G11" s="134">
        <f>IF(AND(D7&gt;250,D7&lt;=1000),VLOOKUP(D7,k,1,1),0)</f>
        <v>0</v>
      </c>
      <c r="H11" s="151">
        <f>IF(G11&gt;0,CEILING(D7,100),0)</f>
        <v>0</v>
      </c>
      <c r="I11" s="135">
        <f>IF(G11&gt;0,VLOOKUP(G11,k,MATCH(D8,i,1),0),0)</f>
        <v>0</v>
      </c>
      <c r="J11" s="242">
        <f>IF(H11&gt;0,VLOOKUP(H11,k,MATCH(D8,i,1),0),0)</f>
        <v>0</v>
      </c>
      <c r="K11" s="260">
        <f>IF(AND(G11&gt;0,G11=H11),VLOOKUP(G11,k,MATCH(D8,i,0),0),IF(H11&gt;0,SUM(I11,PRODUCT(SUM(J11,-I11),1/SUM(H11,-G11),SUM(D7,-G11))),0))</f>
        <v>0</v>
      </c>
      <c r="L11" s="220">
        <f>IF(AND(G11&gt;0,G11=H11),PRODUCT(D10,VLOOKUP(G11,k,MATCH(D8,i,0),0)),IF(H11&gt;0,PRODUCT(SUM(I11,PRODUCT(SUM(J11,-I11),1/SUM(H11,-G11),SUM(D7,-G11))),D10),0))</f>
        <v>0</v>
      </c>
      <c r="M11" s="196">
        <f>IF(AND(G11&gt;0,G11=H11),PRODUCT(VLOOKUP(G11,k,MATCH(D8,i,0),0),VLOOKUP(D10,aa,2,0)),IF(H11&gt;0,PRODUCT(SUM(I11,PRODUCT(SUM(J11,-I11),1/SUM(H11,-G11),SUM(D7,-G11))),VLOOKUP(D10,aa,2,0)),0))</f>
        <v>0</v>
      </c>
      <c r="N11" s="215">
        <f>IF(AND(G11&gt;0,G11=H11),PRODUCT(D10,VLOOKUP(G11,k,MATCH(D8,i,0),0)),IF(H11&gt;0,PRODUCT(SUM(I11,PRODUCT(SUM(J11,-I11),1/SUM(H11,-G11),SUM(D7,-G11))),D10),0))</f>
        <v>0</v>
      </c>
      <c r="O11" s="1"/>
      <c r="P11" s="320">
        <v>9</v>
      </c>
      <c r="Q11" s="1"/>
    </row>
    <row r="12" spans="1:17" ht="12.75" customHeight="1">
      <c r="A12" s="1"/>
      <c r="B12" s="1"/>
      <c r="C12" s="1"/>
      <c r="D12" s="1"/>
      <c r="E12" s="258">
        <v>1000</v>
      </c>
      <c r="F12" s="253">
        <v>4500</v>
      </c>
      <c r="G12" s="136">
        <f>IF(AND(D7&gt;1000,D7&lt;=4500),VLOOKUP(D7,k,1,1),0)</f>
        <v>0</v>
      </c>
      <c r="H12" s="152">
        <f>IF(G12&gt;0,CEILING(D7,500),0)</f>
        <v>0</v>
      </c>
      <c r="I12" s="137">
        <f>IF(G12&gt;0,VLOOKUP(G12,k,MATCH(D8,i,1),0),0)</f>
        <v>0</v>
      </c>
      <c r="J12" s="243">
        <f>IF(H12&gt;0,VLOOKUP(H12,k,MATCH(D8,i,1),0),0)</f>
        <v>0</v>
      </c>
      <c r="K12" s="261">
        <f>IF(AND(G12&gt;0,G12=H12),VLOOKUP(G12,k,MATCH(D8,i,0),0),IF(H12&gt;0,SUM(I12,PRODUCT(SUM(J12,-I12),1/SUM(H12,-G12),SUM(D7,-G12))),0))</f>
        <v>0</v>
      </c>
      <c r="L12" s="221">
        <f>IF(AND(G12&gt;0,G12=H12),PRODUCT(D10,VLOOKUP(G12,k,MATCH(D8,i,0),0)),IF(H12&gt;0,PRODUCT(SUM(I12,PRODUCT(SUM(J12,-I12),1/SUM(H12,-G12),SUM(D7,-G12))),D10),0))</f>
        <v>0</v>
      </c>
      <c r="M12" s="197">
        <f>IF(AND(G12&gt;0,G12=H12),PRODUCT(VLOOKUP(G12,k,MATCH(D8,i,0),0),VLOOKUP(D10,aa,2,0)),IF(H12&gt;0,PRODUCT(SUM(I12,PRODUCT(SUM(J12,-I12),1/SUM(H12,-G12),SUM(D7,-G12))),VLOOKUP(D10,aa,2,0)),0))</f>
        <v>0</v>
      </c>
      <c r="N12" s="216">
        <f>IF(AND(G12&gt;0,G12=H12),PRODUCT(D10,VLOOKUP(G12,k,MATCH(D8,i,0),0)),IF(H12&gt;0,PRODUCT(SUM(I12,PRODUCT(SUM(J12,-I12),1/SUM(H12,-G12),SUM(D7,-G12))),D10),0))</f>
        <v>0</v>
      </c>
      <c r="O12" s="1"/>
      <c r="P12" s="320">
        <v>10</v>
      </c>
      <c r="Q12" s="1"/>
    </row>
    <row r="13" spans="1:17" ht="12.75" customHeight="1">
      <c r="A13" s="1"/>
      <c r="B13" s="1"/>
      <c r="C13" s="1"/>
      <c r="D13" s="1"/>
      <c r="E13" s="257">
        <v>4500</v>
      </c>
      <c r="F13" s="252">
        <v>9000</v>
      </c>
      <c r="G13" s="134">
        <f>IF(AND(D7&gt;4500,D7&lt;=9000),VLOOKUP(D7,k,1,1),0)</f>
        <v>6000</v>
      </c>
      <c r="H13" s="151">
        <f>IF(G13&gt;0,CEILING(D7,1000),0)</f>
        <v>7000</v>
      </c>
      <c r="I13" s="135">
        <f>IF(G13&gt;0,VLOOKUP(G13,k,MATCH(D8,i,1),0),0)</f>
        <v>4873</v>
      </c>
      <c r="J13" s="242">
        <f>IF(H13&gt;0,VLOOKUP(H13,k,MATCH(D8,i,1),0),0)</f>
        <v>5428</v>
      </c>
      <c r="K13" s="260">
        <f>IF(AND(G13&gt;0,G13=H13),VLOOKUP(G13,k,MATCH(D8,i,0),0),IF(H13&gt;0,SUM(I13,PRODUCT(SUM(J13,-I13),1/SUM(H13,-G13),SUM(D7,-G13))),0))</f>
        <v>5336.98</v>
      </c>
      <c r="L13" s="220">
        <f>IF(AND(G13&gt;0,G13=H13),PRODUCT(D10,VLOOKUP(G13,k,MATCH(D8,i,0),0)),IF(H13&gt;0,PRODUCT(SUM(I13,PRODUCT(SUM(J13,-I13),1/SUM(H13,-G13),SUM(D7,-G13))),D10),0))</f>
        <v>5336.98</v>
      </c>
      <c r="M13" s="196">
        <f>IF(AND(G13&gt;0,G13=H13),PRODUCT(VLOOKUP(G13,k,MATCH(D8,i,0),0),VLOOKUP(D10,aa,2,0)),IF(H13&gt;0,PRODUCT(SUM(I13,PRODUCT(SUM(J13,-I13),1/SUM(H13,-G13),SUM(D7,-G13))),VLOOKUP(D10,aa,2,0)),0))</f>
        <v>5336.98</v>
      </c>
      <c r="N13" s="215">
        <f>IF(AND(G13&gt;0,G13=H13),PRODUCT(D10,VLOOKUP(G13,k,MATCH(D8,i,0),0)),IF(H13&gt;0,PRODUCT(SUM(I13,PRODUCT(SUM(J13,-I13),1/SUM(H13,-G13),SUM(D7,-G13))),D10),0))</f>
        <v>5336.98</v>
      </c>
      <c r="O13" s="1"/>
      <c r="P13" s="320">
        <v>11</v>
      </c>
      <c r="Q13" s="1"/>
    </row>
    <row r="14" spans="1:17" ht="12.75" customHeight="1">
      <c r="A14" s="1"/>
      <c r="B14" s="1"/>
      <c r="C14" s="1"/>
      <c r="D14" s="1"/>
      <c r="E14" s="258">
        <v>9000</v>
      </c>
      <c r="F14" s="253">
        <v>47500</v>
      </c>
      <c r="G14" s="136">
        <f>IF(AND(D7&gt;9000,D7&lt;=47500),VLOOKUP(D7,k,1,1),0)</f>
        <v>0</v>
      </c>
      <c r="H14" s="152">
        <f>IF(G14&gt;0,CEILING(D7,2500),0)</f>
        <v>0</v>
      </c>
      <c r="I14" s="137">
        <f>IF(G14&gt;0,VLOOKUP(G14,k,MATCH(D8,i,1),0),0)</f>
        <v>0</v>
      </c>
      <c r="J14" s="243">
        <f>IF(H14&gt;0,VLOOKUP(H14,k,MATCH(D8,i,1),0),0)</f>
        <v>0</v>
      </c>
      <c r="K14" s="261">
        <f>IF(AND(G14&gt;0,G14=H14),VLOOKUP(G14,k,MATCH(D8,i,0),0),IF(H14&gt;0,SUM(I14,PRODUCT(SUM(J14,-I14),1/SUM(H14,-G14),SUM(D7,-G14))),0))</f>
        <v>0</v>
      </c>
      <c r="L14" s="221">
        <f>IF(AND(G14&gt;0,G14=H14),PRODUCT(D10,VLOOKUP(G14,k,MATCH(D8,i,0),0)),IF(H14&gt;0,PRODUCT(SUM(I14,PRODUCT(SUM(J14,-I14),1/SUM(H14,-G14),SUM(D7,-G14))),D10),0))</f>
        <v>0</v>
      </c>
      <c r="M14" s="197">
        <f>IF(AND(G14&gt;0,G14=H14),PRODUCT(VLOOKUP(G14,k,MATCH(D8,i,0),0),VLOOKUP(D10,aa,2,0)),IF(H14&gt;0,PRODUCT(SUM(I14,PRODUCT(SUM(J14,-I14),1/SUM(H14,-G14),SUM(D7,-G14))),VLOOKUP(D10,aa,2,0)),0))</f>
        <v>0</v>
      </c>
      <c r="N14" s="216">
        <f>IF(AND(G14&gt;0,G14=H14),PRODUCT(D10,VLOOKUP(G14,k,MATCH(D8,i,0),0)),IF(H14&gt;0,PRODUCT(SUM(I14,PRODUCT(SUM(J14,-I14),1/SUM(H14,-G14),SUM(D7,-G14))),D10),0))</f>
        <v>0</v>
      </c>
      <c r="O14" s="1"/>
      <c r="P14" s="320">
        <v>12</v>
      </c>
      <c r="Q14" s="1"/>
    </row>
    <row r="15" spans="1:17" ht="12.75" customHeight="1" thickBot="1">
      <c r="A15" s="1"/>
      <c r="B15" s="1"/>
      <c r="C15" s="1"/>
      <c r="D15" s="1"/>
      <c r="E15" s="259">
        <v>47500</v>
      </c>
      <c r="F15" s="254">
        <v>80000</v>
      </c>
      <c r="G15" s="138">
        <f>IF(AND(D7&gt;47500,D7&lt;=80000),VLOOKUP(D7,k,1,1),0)</f>
        <v>0</v>
      </c>
      <c r="H15" s="153">
        <f>IF(G15&gt;0,CEILING(D7,5000),0)</f>
        <v>0</v>
      </c>
      <c r="I15" s="139">
        <f>IF(G15&gt;0,VLOOKUP(G15,k,MATCH(D8,i,1),0),0)</f>
        <v>0</v>
      </c>
      <c r="J15" s="244">
        <f>IF(H15&gt;0,VLOOKUP(H15,k,MATCH(D8,i,1),0),0)</f>
        <v>0</v>
      </c>
      <c r="K15" s="262">
        <f>IF(AND(G15&gt;0,G15=H15),VLOOKUP(G15,k,MATCH(D8,i,0),0),IF(H15&gt;0,SUM(I15,PRODUCT(SUM(J15,-I15),1/SUM(H15,-G15),SUM(D7,-G15))),0))</f>
        <v>0</v>
      </c>
      <c r="L15" s="222">
        <f>IF(AND(G15&gt;0,G15=H15),PRODUCT(D10,VLOOKUP(G15,k,MATCH(D8,i,0),0)),IF(H15&gt;0,PRODUCT(SUM(I15,PRODUCT(SUM(J15,-I15),1/SUM(H15,-G15),SUM(D7,-G15))),D10),0))</f>
        <v>0</v>
      </c>
      <c r="M15" s="201">
        <f>IF(AND(G15&gt;0,G15=H15),PRODUCT(VLOOKUP(G15,k,MATCH(D8,i,0),0),VLOOKUP(D10,aa,2,0)),IF(H15&gt;0,PRODUCT(SUM(I15,PRODUCT(SUM(J15,-I15),1/SUM(H15,-G15),SUM(D7,-G15))),VLOOKUP(D10,aa,2,0)),0))</f>
        <v>0</v>
      </c>
      <c r="N15" s="217">
        <f>IF(AND(G15&gt;0,G15=H15),PRODUCT(D10,VLOOKUP(G15,k,MATCH(D8,i,0),0)),IF(H15&gt;0,PRODUCT(SUM(I15,PRODUCT(SUM(J15,-I15),1/SUM(H15,-G15),SUM(D7,-G15))),D10),0))</f>
        <v>0</v>
      </c>
      <c r="O15" s="1"/>
      <c r="P15" s="320">
        <v>13</v>
      </c>
      <c r="Q15" s="1"/>
    </row>
    <row r="16" spans="1:17" ht="12.7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98">
        <f>IF(AND(AND(D7&lt;&gt;"",ISNUMBER(D7),D7&gt;0,D7&lt;=80000),AND(D8&lt;&gt;"",OR(D8=j,D8=ja,D8=jb,D8=jc,D8=jd,D8=je,D8=jf,D8=jg,D8=jh,D8=ji,D8=jj)),AND(D9&lt;&gt;"",OR(D9="Var",D9="Yok")),AND(D10&lt;&gt;"",ISNUMBER(D10),D10&gt;0,D10&lt;=80000)),ROUND(SUM(K10:K15),0),0)</f>
        <v>5337</v>
      </c>
      <c r="L16" s="199">
        <f>IF(AND(AND(D7&lt;&gt;"",ISNUMBER(D7),D7&gt;0,D7&lt;=80000),AND(D8&lt;&gt;"",OR(D8=j,D8=ja,D8=jb,D8=jc,D8=jd,D8=je,D8=jf,D8=jg,D8=jh,D8=ji,D8=jj)),AND(D9&lt;&gt;"",OR(D9="Var",D9="Yok")),AND(D10&lt;&gt;"",ISNUMBER(D10),D10&gt;0,D10&lt;=80000)),ROUND(SUM(L10:L15),0),0)</f>
        <v>5337</v>
      </c>
      <c r="M16" s="200">
        <f>IF(AND(AND(D7&lt;&gt;"",ISNUMBER(D7),D7&gt;0,D7&lt;=80000),AND(D8&lt;&gt;"",OR(D8=j,D8=ja,D8=jb,D8=jc,D8=jd,D8=je,D8=jf,D8=jg,D8=jh,D8=ji,D8=jj)),AND(D9&lt;&gt;"",OR(D9="Var",D9="Yok")),AND(D10&lt;&gt;"",ISNUMBER(D10),D10&gt;0,D10&lt;=80000)),ROUND(SUM(M10:M15),0),0)</f>
        <v>5337</v>
      </c>
      <c r="N16" s="277">
        <f>IF(AND(AND(D7&lt;&gt;"",ISNUMBER(D7),D7&gt;0,D7&lt;=80000),AND(D8&lt;&gt;"",OR(D8=j,D8=ja,D8=jb,D8=jc,D8=jd,D8=je,D8=jf,D8=jg,D8=jh,D8=ji,D8=jj)),AND(D9&lt;&gt;"",OR(D9="Var",D9="Yok")),AND(D10&lt;&gt;"",ISNUMBER(D10),D10&gt;0,D10&lt;=80000)),ROUND(SUM(N10:N15),0),0)</f>
        <v>5337</v>
      </c>
      <c r="O16" s="1"/>
      <c r="P16" s="320">
        <v>14</v>
      </c>
      <c r="Q16" s="1"/>
    </row>
    <row r="17" spans="1: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265" t="s">
        <v>42</v>
      </c>
      <c r="L17" s="265" t="s">
        <v>91</v>
      </c>
      <c r="M17" s="265" t="s">
        <v>92</v>
      </c>
      <c r="N17" s="265" t="s">
        <v>93</v>
      </c>
      <c r="O17" s="1"/>
      <c r="P17" s="320">
        <v>15</v>
      </c>
      <c r="Q17" s="1"/>
    </row>
    <row r="18" spans="1:17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20">
        <v>16</v>
      </c>
      <c r="Q18" s="1"/>
    </row>
    <row r="19" spans="1:17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20">
        <v>17</v>
      </c>
      <c r="Q19" s="1"/>
    </row>
    <row r="20" spans="1:17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20">
        <v>18</v>
      </c>
      <c r="Q20" s="1"/>
    </row>
    <row r="21" spans="1:17" ht="12.75" customHeight="1" thickBot="1">
      <c r="A21" s="1"/>
      <c r="B21" s="1"/>
      <c r="C21" s="1"/>
      <c r="D21" s="265" t="s">
        <v>81</v>
      </c>
      <c r="E21" s="265" t="s">
        <v>82</v>
      </c>
      <c r="F21" s="265" t="s">
        <v>83</v>
      </c>
      <c r="G21" s="265" t="s">
        <v>34</v>
      </c>
      <c r="H21" s="265" t="s">
        <v>33</v>
      </c>
      <c r="I21" s="265" t="s">
        <v>27</v>
      </c>
      <c r="J21" s="265" t="s">
        <v>28</v>
      </c>
      <c r="K21" s="265" t="s">
        <v>29</v>
      </c>
      <c r="L21" s="265" t="s">
        <v>30</v>
      </c>
      <c r="M21" s="265" t="s">
        <v>31</v>
      </c>
      <c r="N21" s="265" t="s">
        <v>45</v>
      </c>
      <c r="O21" s="1"/>
      <c r="P21" s="320">
        <v>19</v>
      </c>
      <c r="Q21" s="1"/>
    </row>
    <row r="22" spans="1:17" ht="12.75" customHeight="1">
      <c r="A22" s="1"/>
      <c r="B22" s="1"/>
      <c r="C22" s="1"/>
      <c r="D22" s="108"/>
      <c r="E22" s="42"/>
      <c r="F22" s="42"/>
      <c r="G22" s="42"/>
      <c r="H22" s="42"/>
      <c r="I22" s="146" t="s">
        <v>79</v>
      </c>
      <c r="J22" s="42"/>
      <c r="K22" s="42"/>
      <c r="L22" s="42"/>
      <c r="M22" s="42"/>
      <c r="N22" s="44"/>
      <c r="O22" s="1"/>
      <c r="P22" s="320">
        <v>20</v>
      </c>
      <c r="Q22" s="1"/>
    </row>
    <row r="23" spans="1:17" ht="12.75" customHeight="1" thickBot="1">
      <c r="A23" s="1"/>
      <c r="B23" s="1"/>
      <c r="C23" s="1"/>
      <c r="D23" s="102"/>
      <c r="E23" s="103"/>
      <c r="F23" s="103"/>
      <c r="G23" s="103"/>
      <c r="H23" s="103"/>
      <c r="I23" s="147" t="s">
        <v>76</v>
      </c>
      <c r="J23" s="103"/>
      <c r="K23" s="103"/>
      <c r="L23" s="103"/>
      <c r="M23" s="103"/>
      <c r="N23" s="105"/>
      <c r="O23" s="1"/>
      <c r="P23" s="320">
        <v>21</v>
      </c>
      <c r="Q23" s="1"/>
    </row>
    <row r="24" spans="1:17" ht="12.75" customHeight="1" thickBot="1">
      <c r="A24" s="1"/>
      <c r="B24" s="1"/>
      <c r="C24" s="1"/>
      <c r="D24" s="130" t="s">
        <v>65</v>
      </c>
      <c r="E24" s="131" t="s">
        <v>66</v>
      </c>
      <c r="F24" s="132" t="s">
        <v>71</v>
      </c>
      <c r="G24" s="133" t="s">
        <v>72</v>
      </c>
      <c r="H24" s="106"/>
      <c r="I24" s="140" t="s">
        <v>75</v>
      </c>
      <c r="J24" s="109"/>
      <c r="K24" s="141" t="s">
        <v>12</v>
      </c>
      <c r="L24" s="109"/>
      <c r="M24" s="140" t="s">
        <v>78</v>
      </c>
      <c r="N24" s="107"/>
      <c r="O24" s="1"/>
      <c r="P24" s="320">
        <v>22</v>
      </c>
      <c r="Q24" s="1"/>
    </row>
    <row r="25" spans="1:17" ht="12.75" customHeight="1" thickBot="1">
      <c r="A25" s="1"/>
      <c r="B25" s="249" t="s">
        <v>115</v>
      </c>
      <c r="C25" s="10"/>
      <c r="D25" s="224" t="s">
        <v>67</v>
      </c>
      <c r="E25" s="237" t="s">
        <v>68</v>
      </c>
      <c r="F25" s="226" t="s">
        <v>69</v>
      </c>
      <c r="G25" s="239" t="s">
        <v>70</v>
      </c>
      <c r="H25" s="142" t="s">
        <v>35</v>
      </c>
      <c r="I25" s="209" t="s">
        <v>35</v>
      </c>
      <c r="J25" s="207" t="s">
        <v>74</v>
      </c>
      <c r="K25" s="212" t="str">
        <f>N8</f>
        <v>BenzerlikYok</v>
      </c>
      <c r="L25" s="204" t="s">
        <v>35</v>
      </c>
      <c r="M25" s="209" t="s">
        <v>35</v>
      </c>
      <c r="N25" s="219" t="s">
        <v>74</v>
      </c>
      <c r="O25" s="1"/>
      <c r="P25" s="320">
        <v>23</v>
      </c>
      <c r="Q25" s="1"/>
    </row>
    <row r="26" spans="1:17" ht="12.75" customHeight="1" thickBot="1">
      <c r="A26" s="1"/>
      <c r="B26" s="255" t="s">
        <v>112</v>
      </c>
      <c r="C26" s="250" t="s">
        <v>111</v>
      </c>
      <c r="D26" s="225" t="s">
        <v>113</v>
      </c>
      <c r="E26" s="238" t="s">
        <v>114</v>
      </c>
      <c r="F26" s="227" t="s">
        <v>63</v>
      </c>
      <c r="G26" s="240" t="s">
        <v>63</v>
      </c>
      <c r="H26" s="202" t="s">
        <v>36</v>
      </c>
      <c r="I26" s="210" t="str">
        <f>D10&amp;" Blok"</f>
        <v>1 Blok</v>
      </c>
      <c r="J26" s="211" t="str">
        <f>D10&amp;" Blok"</f>
        <v>1 Blok</v>
      </c>
      <c r="K26" s="213" t="str">
        <f>D10&amp;" Blok"</f>
        <v>1 Blok</v>
      </c>
      <c r="L26" s="231" t="s">
        <v>36</v>
      </c>
      <c r="M26" s="210" t="str">
        <f>D10&amp;" Blok"</f>
        <v>1 Blok</v>
      </c>
      <c r="N26" s="232" t="str">
        <f>D10&amp;" Blok"</f>
        <v>1 Blok</v>
      </c>
      <c r="O26" s="1"/>
      <c r="P26" s="320">
        <v>24</v>
      </c>
      <c r="Q26" s="1"/>
    </row>
    <row r="27" spans="1:17" ht="12.75" customHeight="1">
      <c r="A27" s="1"/>
      <c r="B27" s="256">
        <v>0</v>
      </c>
      <c r="C27" s="251">
        <v>250</v>
      </c>
      <c r="D27" s="228">
        <f>IF(AND(D7&gt;0,D7&lt;=250),0,0)</f>
        <v>0</v>
      </c>
      <c r="E27" s="150">
        <f>IF(AND(D7&gt;0,D7&lt;=250),250,0)</f>
        <v>0</v>
      </c>
      <c r="F27" s="223">
        <f>IF(AND(E27&gt;0,E27&lt;=250),0,0)</f>
        <v>0</v>
      </c>
      <c r="G27" s="241">
        <f>IF(AND(E27&gt;0,E27&lt;=250),VLOOKUP(E27,m,MATCH(D8,i,1),0),0)</f>
        <v>0</v>
      </c>
      <c r="H27" s="279">
        <f>IF(AND(E27&gt;0,E27&lt;=250),SUM(F27,PRODUCT(SUM(G27,-F27),1/SUM(E27,-D27),SUM(D7,-D27))),0)</f>
        <v>0</v>
      </c>
      <c r="I27" s="280">
        <f>IF(AND(E27&gt;0,E27&lt;=250),SUM(F27,PRODUCT(SUM(G27,-F27),1/SUM(E27,-D27),SUM(D7,-D27),D10)),0)</f>
        <v>0</v>
      </c>
      <c r="J27" s="281">
        <f>IF(AND(E27&gt;0,E27&lt;=250),SUM(F27,PRODUCT(SUM(G27,-F27),1/SUM(E27,-D27),SUM(D7,-D27),VLOOKUP(D10,aa,2,0))),0)</f>
        <v>0</v>
      </c>
      <c r="K27" s="282">
        <f>IF(AND(E27&gt;0,E27&lt;=250),SUM(F27,PRODUCT(SUM(G27,-F27),1/SUM(E27,-D27),SUM(D7,-D27),D10)),0)</f>
        <v>0</v>
      </c>
      <c r="L27" s="279">
        <f aca="true" t="shared" si="0" ref="L27:M32">H27</f>
        <v>0</v>
      </c>
      <c r="M27" s="280">
        <f t="shared" si="0"/>
        <v>0</v>
      </c>
      <c r="N27" s="281">
        <f aca="true" t="shared" si="1" ref="N27:N32">SUM(J27,K27)</f>
        <v>0</v>
      </c>
      <c r="O27" s="1"/>
      <c r="P27" s="320">
        <v>25</v>
      </c>
      <c r="Q27" s="1"/>
    </row>
    <row r="28" spans="1:17" ht="12.75" customHeight="1">
      <c r="A28" s="1"/>
      <c r="B28" s="257">
        <v>250</v>
      </c>
      <c r="C28" s="252">
        <v>1000</v>
      </c>
      <c r="D28" s="229">
        <f>IF(AND(D7&gt;250,D7&lt;=1000),VLOOKUP(D7,m,1,1),0)</f>
        <v>0</v>
      </c>
      <c r="E28" s="151">
        <f>IF(D28&gt;0,CEILING(D7,100),0)</f>
        <v>0</v>
      </c>
      <c r="F28" s="230">
        <f>IF(D28&gt;0,VLOOKUP(D28,m,MATCH(D8,i,1),0),0)</f>
        <v>0</v>
      </c>
      <c r="G28" s="242">
        <f>IF(E28&gt;0,VLOOKUP(E28,m,MATCH(D8,i,1),0),0)</f>
        <v>0</v>
      </c>
      <c r="H28" s="283">
        <f>IF(AND(D28&gt;0,D28=E28),PRODUCT(VLOOKUP(D28,m,MATCH(D8,l,0),0)),IF(AND(D28&gt;0,D28&lt;&gt;E28),SUM(F28,PRODUCT(SUM(G28,-F28),1/SUM(E28,-D28),SUM(D7,-D28))),0))</f>
        <v>0</v>
      </c>
      <c r="I28" s="284">
        <f>IF(AND(D28&gt;0,D28=E28),PRODUCT(VLOOKUP(D28,m,MATCH(D8,l,0),0),D10),IF(AND(D28&gt;0,D28&lt;&gt;E28),PRODUCT(SUM(F28,PRODUCT(SUM(G28,-F28),1/SUM(E28,-D28),SUM(D7,-D28))),D10),0))</f>
        <v>0</v>
      </c>
      <c r="J28" s="285">
        <f>IF(AND(D28&gt;0,D28=E28),PRODUCT(VLOOKUP(D28,m,MATCH(D8,l,0),0),VLOOKUP(D10,aa,2,0)),IF(AND(D28&gt;0,D28&lt;&gt;E28),PRODUCT(SUM(F28,PRODUCT(SUM(G28,-F28),1/SUM(E28,-D28),SUM(D7,-D28))),VLOOKUP(D10,aa,2,0)),0))</f>
        <v>0</v>
      </c>
      <c r="K28" s="286">
        <f>IF(AND(D28&gt;0,D28=E28),PRODUCT(VLOOKUP(D28,m,MATCH(D8,l,0),0),D10),IF(AND(D28&gt;0,D28&lt;&gt;E28),PRODUCT(SUM(F28,PRODUCT(SUM(G28,-F28),1/SUM(E28,-D28),SUM(D7,-D28))),D10),0))</f>
        <v>0</v>
      </c>
      <c r="L28" s="283">
        <f t="shared" si="0"/>
        <v>0</v>
      </c>
      <c r="M28" s="284">
        <f t="shared" si="0"/>
        <v>0</v>
      </c>
      <c r="N28" s="285">
        <f t="shared" si="1"/>
        <v>0</v>
      </c>
      <c r="O28" s="1"/>
      <c r="P28" s="320">
        <v>26</v>
      </c>
      <c r="Q28" s="1"/>
    </row>
    <row r="29" spans="1:17" ht="12.75" customHeight="1">
      <c r="A29" s="1"/>
      <c r="B29" s="258">
        <v>1000</v>
      </c>
      <c r="C29" s="253">
        <v>4500</v>
      </c>
      <c r="D29" s="136">
        <f>IF(AND(D7&gt;1000,D7&lt;=4500),VLOOKUP(D7,m,1,1),0)</f>
        <v>0</v>
      </c>
      <c r="E29" s="152">
        <f>IF(D29&gt;0,CEILING(D7,500),0)</f>
        <v>0</v>
      </c>
      <c r="F29" s="137">
        <f>IF(D29&gt;0,VLOOKUP(D29,m,MATCH(D8,i,1),0),0)</f>
        <v>0</v>
      </c>
      <c r="G29" s="243">
        <f>IF(E29&gt;0,VLOOKUP(E29,m,MATCH(D8,i,1),0),0)</f>
        <v>0</v>
      </c>
      <c r="H29" s="287">
        <f>IF(AND(D29&gt;0,D29=E29),PRODUCT(VLOOKUP(D29,m,MATCH(D8,l,0),0)),IF(AND(D29&gt;0,D29&lt;&gt;E29),SUM(F29,PRODUCT(SUM(G29,-F29),1/SUM(E29,-D29),SUM(D7,-D29))),0))</f>
        <v>0</v>
      </c>
      <c r="I29" s="288">
        <f>IF(AND(D29&gt;0,D29=E29),PRODUCT(VLOOKUP(D29,m,MATCH(D8,l,0),0),D10),IF(AND(D29&gt;0,D29&lt;&gt;E29),PRODUCT(SUM(F29,PRODUCT(SUM(G29,-F29),1/SUM(E29,-D29),SUM(D7,-D29))),D10),0))</f>
        <v>0</v>
      </c>
      <c r="J29" s="289">
        <f>IF(AND(D29&gt;0,D29=E29),PRODUCT(VLOOKUP(D29,m,MATCH(D8,l,0),0),VLOOKUP(D10,aa,2,0)),IF(AND(D29&gt;0,D29&lt;&gt;E29),PRODUCT(SUM(F29,PRODUCT(SUM(G29,-F29),1/SUM(E29,-D29),SUM(D7,-D29))),VLOOKUP(D10,aa,2,0)),0))</f>
        <v>0</v>
      </c>
      <c r="K29" s="290">
        <f>IF(AND(D29&gt;0,D29=E29),PRODUCT(VLOOKUP(D29,m,MATCH(D8,l,0),0),D10),IF(AND(D29&gt;0,D29&lt;&gt;E29),PRODUCT(SUM(F29,PRODUCT(SUM(G29,-F29),1/SUM(E29,-D29),SUM(D7,-D29))),D10),0))</f>
        <v>0</v>
      </c>
      <c r="L29" s="287">
        <f t="shared" si="0"/>
        <v>0</v>
      </c>
      <c r="M29" s="288">
        <f t="shared" si="0"/>
        <v>0</v>
      </c>
      <c r="N29" s="289">
        <f t="shared" si="1"/>
        <v>0</v>
      </c>
      <c r="O29" s="1"/>
      <c r="P29" s="320">
        <v>27</v>
      </c>
      <c r="Q29" s="1"/>
    </row>
    <row r="30" spans="1:17" ht="12.75" customHeight="1">
      <c r="A30" s="1"/>
      <c r="B30" s="257">
        <v>4500</v>
      </c>
      <c r="C30" s="252">
        <v>9000</v>
      </c>
      <c r="D30" s="134">
        <f>IF(AND(D7&gt;4500,D7&lt;=9000),VLOOKUP(D7,m,1,1),0)</f>
        <v>6000</v>
      </c>
      <c r="E30" s="151">
        <f>IF(D30&gt;0,CEILING(D7,1000),0)</f>
        <v>7000</v>
      </c>
      <c r="F30" s="135">
        <f>IF(D30&gt;0,VLOOKUP(D30,m,MATCH(D8,i,1),0),0)</f>
        <v>194.92000000000002</v>
      </c>
      <c r="G30" s="242">
        <f>IF(E30&gt;0,VLOOKUP(E30,m,MATCH(D8,i,1),0),0)</f>
        <v>217.12</v>
      </c>
      <c r="H30" s="283">
        <f>IF(AND(D30&gt;0,D30=E30),PRODUCT(VLOOKUP(D30,m,MATCH(D8,l,0),0)),IF(AND(D30&gt;0,D30&lt;&gt;E30),SUM(F30,PRODUCT(SUM(G30,-F30),1/SUM(E30,-D30),SUM(D7,-D30))),0))</f>
        <v>213.47920000000002</v>
      </c>
      <c r="I30" s="284">
        <f>IF(AND(D30&gt;0,D30=E30),PRODUCT(VLOOKUP(D30,m,MATCH(D8,l,0),0),D10),IF(AND(D30&gt;0,D30&lt;&gt;E30),PRODUCT(SUM(F30,PRODUCT(SUM(G30,-F30),1/SUM(E30,-D30),SUM(D7,-D30))),D10),0))</f>
        <v>213.47920000000002</v>
      </c>
      <c r="J30" s="285">
        <f>IF(AND(D30&gt;0,D30=E30),PRODUCT(VLOOKUP(D30,m,MATCH(D8,l,0),0),VLOOKUP(D10,aa,2,0)),IF(AND(D30&gt;0,D30&lt;&gt;E30),PRODUCT(SUM(F30,PRODUCT(SUM(G30,-F30),1/SUM(E30,-D30),SUM(D7,-D30))),VLOOKUP(D10,aa,2,0)),0))</f>
        <v>213.47920000000002</v>
      </c>
      <c r="K30" s="286">
        <f>IF(AND(D30&gt;0,D30=E30),PRODUCT(VLOOKUP(D30,m,MATCH(D8,l,0),0),D10),IF(AND(D30&gt;0,D30&lt;&gt;E30),PRODUCT(SUM(F30,PRODUCT(SUM(G30,-F30),1/SUM(E30,-D30),SUM(D7,-D30))),D10),0))</f>
        <v>213.47920000000002</v>
      </c>
      <c r="L30" s="283">
        <f t="shared" si="0"/>
        <v>213.47920000000002</v>
      </c>
      <c r="M30" s="284">
        <f t="shared" si="0"/>
        <v>213.47920000000002</v>
      </c>
      <c r="N30" s="285">
        <f>SUM(J30,K30)</f>
        <v>426.95840000000004</v>
      </c>
      <c r="O30" s="1"/>
      <c r="P30" s="320">
        <v>28</v>
      </c>
      <c r="Q30" s="1"/>
    </row>
    <row r="31" spans="1:17" ht="12.75" customHeight="1">
      <c r="A31" s="1"/>
      <c r="B31" s="258">
        <v>9000</v>
      </c>
      <c r="C31" s="253">
        <v>47500</v>
      </c>
      <c r="D31" s="136">
        <f>IF(AND(D7&gt;9000,D7&lt;=47500),VLOOKUP(D7,m,1,1),0)</f>
        <v>0</v>
      </c>
      <c r="E31" s="152">
        <f>IF(D31&gt;0,CEILING(D7,2500),0)</f>
        <v>0</v>
      </c>
      <c r="F31" s="137">
        <f>IF(D31&gt;0,VLOOKUP(D31,m,MATCH(D8,i,1),0),0)</f>
        <v>0</v>
      </c>
      <c r="G31" s="243">
        <f>IF(E31&gt;0,VLOOKUP(E31,m,MATCH(D8,i,1),0),0)</f>
        <v>0</v>
      </c>
      <c r="H31" s="287">
        <f>IF(AND(D31&gt;0,D31=E31),PRODUCT(VLOOKUP(D31,m,MATCH(D8,l,0),0)),IF(AND(D31&gt;0,D31&lt;&gt;E31),SUM(F31,PRODUCT(SUM(G31,-F31),1/SUM(E31,-D31),SUM(D7,-D31))),0))</f>
        <v>0</v>
      </c>
      <c r="I31" s="288">
        <f>IF(AND(D31&gt;0,D31=E31),PRODUCT(VLOOKUP(D31,m,MATCH(D8,l,0),0),D10),IF(AND(D31&gt;0,D31&lt;&gt;E31),PRODUCT(SUM(F31,PRODUCT(SUM(G31,-F31),1/SUM(E31,-D31),SUM(D7,-D31))),D10),0))</f>
        <v>0</v>
      </c>
      <c r="J31" s="289">
        <f>IF(AND(D31&gt;0,D31=E31),PRODUCT(VLOOKUP(D31,m,MATCH(D8,l,0),0),VLOOKUP(D10,aa,2,0)),IF(AND(D31&gt;0,D31&lt;&gt;E31),PRODUCT(SUM(F31,PRODUCT(SUM(G31,-F31),1/SUM(E31,-D31),SUM(D7,-D31))),VLOOKUP(D10,aa,2,0)),0))</f>
        <v>0</v>
      </c>
      <c r="K31" s="290">
        <f>IF(AND(D31&gt;0,D31=E31),PRODUCT(VLOOKUP(D31,m,MATCH(D8,l,0),0),D10),IF(AND(D31&gt;0,D31&lt;&gt;E31),PRODUCT(SUM(F31,PRODUCT(SUM(G31,-F31),1/SUM(E31,-D31),SUM(D7,-D31))),D10),0))</f>
        <v>0</v>
      </c>
      <c r="L31" s="287">
        <f t="shared" si="0"/>
        <v>0</v>
      </c>
      <c r="M31" s="288">
        <f t="shared" si="0"/>
        <v>0</v>
      </c>
      <c r="N31" s="289">
        <f t="shared" si="1"/>
        <v>0</v>
      </c>
      <c r="O31" s="1"/>
      <c r="P31" s="320">
        <v>29</v>
      </c>
      <c r="Q31" s="1"/>
    </row>
    <row r="32" spans="1:17" ht="12.75" customHeight="1" thickBot="1">
      <c r="A32" s="1"/>
      <c r="B32" s="259">
        <v>47500</v>
      </c>
      <c r="C32" s="254">
        <v>80000</v>
      </c>
      <c r="D32" s="138">
        <f>IF(AND(D7&gt;47500,D7&lt;=80000),VLOOKUP(D7,m,1,1),0)</f>
        <v>0</v>
      </c>
      <c r="E32" s="153">
        <f>IF(D32&gt;0,CEILING(D7,5000),0)</f>
        <v>0</v>
      </c>
      <c r="F32" s="139">
        <f>IF(D32&gt;0,VLOOKUP(D32,m,MATCH(D8,i,1),0),0)</f>
        <v>0</v>
      </c>
      <c r="G32" s="244">
        <f>IF(E32&gt;0,VLOOKUP(E32,m,MATCH(D8,i,1),0),0)</f>
        <v>0</v>
      </c>
      <c r="H32" s="291">
        <f>IF(AND(D32&gt;0,D32=E32),PRODUCT(VLOOKUP(D32,m,MATCH(D8,l,0),0)),IF(AND(D32&gt;0,D32&lt;&gt;E32),SUM(F32,PRODUCT(SUM(G32,-F32),1/SUM(E32,-D32),SUM(D7,-D32))),0))</f>
        <v>0</v>
      </c>
      <c r="I32" s="292">
        <f>IF(AND(D32&gt;0,D32=E32),PRODUCT(VLOOKUP(D32,m,MATCH(D8,l,0),0),D10),IF(AND(D32&gt;0,D32&lt;&gt;E32),PRODUCT(SUM(F32,PRODUCT(SUM(G32,-F32),1/SUM(E32,-D32),SUM(D7,-D32))),D10),0))</f>
        <v>0</v>
      </c>
      <c r="J32" s="293">
        <f>IF(AND(D32&gt;0,D32=E32),PRODUCT(VLOOKUP(D32,m,MATCH(D8,l,0),0),VLOOKUP(D10,aa,2,0)),IF(AND(D32&gt;0,D32&lt;&gt;E32),PRODUCT(SUM(F32,PRODUCT(SUM(G32,-F32),1/SUM(E32,-D32),SUM(D7,-D32))),VLOOKUP(D10,aa,2,0)),0))</f>
        <v>0</v>
      </c>
      <c r="K32" s="294">
        <f>IF(AND(D32&gt;0,D32=E32),PRODUCT(VLOOKUP(D32,m,MATCH(D8,l,0),0),D10),IF(AND(D32&gt;0,D32&lt;&gt;E32),PRODUCT(SUM(F32,PRODUCT(SUM(G32,-F32),1/SUM(E32,-D32),SUM(D7,-D32))),D10),0))</f>
        <v>0</v>
      </c>
      <c r="L32" s="291">
        <f t="shared" si="0"/>
        <v>0</v>
      </c>
      <c r="M32" s="292">
        <f t="shared" si="0"/>
        <v>0</v>
      </c>
      <c r="N32" s="293">
        <f t="shared" si="1"/>
        <v>0</v>
      </c>
      <c r="O32" s="1"/>
      <c r="P32" s="320">
        <v>30</v>
      </c>
      <c r="Q32" s="1"/>
    </row>
    <row r="33" spans="1:17" ht="12.75" customHeight="1" thickBot="1">
      <c r="A33" s="1"/>
      <c r="B33" s="1"/>
      <c r="C33" s="1"/>
      <c r="D33" s="1"/>
      <c r="E33" s="1"/>
      <c r="F33" s="1"/>
      <c r="G33" s="1"/>
      <c r="H33" s="203">
        <f>IF(AND(AND(D7&lt;&gt;"",ISNUMBER(D7),D7&gt;0,D7&lt;=80000),AND(D8&lt;&gt;"",OR(D8=j,D8=ja,D8=jb,D8=jc,D8=jd,D8=je,D8=jf,D8=jg,D8=jh,D8=ji,D8=jj)),AND(D9&lt;&gt;"",OR(D9="Var",D9="Yok")),AND(D10&lt;&gt;"",ISNUMBER(D10),D10&gt;0,D10&lt;=80000),SUM(H27:H32)&lt;1),ROUNDUP(SUM(H27:H32),0),IF(AND(AND(D7&lt;&gt;"",ISNUMBER(D7),D7&gt;0,D7&lt;=80000),AND(D8&lt;&gt;"",OR(D8=j,D8=ja,D8=jb,D8=jc,D8=jd,D8=je,D8=jf,D8=jg,D8=jh,D8=ji,D8=jj)),AND(D9&lt;&gt;"",OR(D9="Var",D9="Yok")),AND(D10&lt;&gt;"",ISNUMBER(D10),D10&gt;0,D10&lt;=80000),SUM(H27:H32)&gt;=1),ROUNDUP(SUM(H27:H32),0),0))</f>
        <v>214</v>
      </c>
      <c r="I33" s="199">
        <f>IF(AND(AND(D7&lt;&gt;"",ISNUMBER(D7),D7&gt;0,D7&lt;=80000),AND(D8&lt;&gt;"",OR(D8=j,D8=ja,D8=jb,D8=jc,D8=jd,D8=je,D8=jf,D8=jg,D8=jh,D8=ji,D8=jj)),AND(D9&lt;&gt;"",OR(D9="Var",D9="Yok")),AND(D10&lt;&gt;"",ISNUMBER(D10),D10&gt;0,D10&lt;=80000),SUM(I27:I32)&lt;1),ROUNDUP(SUM(I27:I32),0),IF(AND(AND(D7&lt;&gt;"",ISNUMBER(D7),D7&gt;0,D7&lt;=80000),AND(D8&lt;&gt;"",OR(D8=j,D8=ja,D8=jb,D8=jc,D8=jd,D8=je,D8=jf,D8=jg,D8=jh,D8=ji,D8=jj)),AND(D9&lt;&gt;"",OR(D9="Var",D9="Yok")),AND(D10&lt;&gt;"",ISNUMBER(D10),D10&gt;0,D10&lt;=80000),SUM(I27:I32)&gt;=1),ROUNDUP(SUM(I27:I32),0),0))</f>
        <v>214</v>
      </c>
      <c r="J33" s="200">
        <f>IF(AND(AND(D7&lt;&gt;"",ISNUMBER(D7),D7&gt;0,D7&lt;=80000),AND(D8&lt;&gt;"",OR(D8=j,D8=ja,D8=jb,D8=jc,D8=jd,D8=je,D8=jf,D8=jg,D8=jh,D8=ji,D8=jj)),AND(D9&lt;&gt;"",OR(D9="Var",D9="Yok")),AND(D10&lt;&gt;"",ISNUMBER(D10),D10&gt;0,D10&lt;=80000),SUM(J27:J32)&lt;1),ROUNDUP(SUM(J27:J32),0),IF(AND(AND(D7&lt;&gt;"",ISNUMBER(D7),D7&gt;0,D7&lt;=80000),AND(D8&lt;&gt;"",OR(D8=j,D8=ja,D8=jb,D8=jc,D8=jd,D8=je,D8=jf,D8=jg,D8=jh,D8=ji,D8=jj)),AND(D9&lt;&gt;"",OR(D9="Var",D9="Yok")),AND(D10&lt;&gt;"",ISNUMBER(D10),D10&gt;0,D10&lt;=80000),SUM(J27:J32)&gt;=1),ROUNDUP(SUM(J27:J32),0),0))</f>
        <v>214</v>
      </c>
      <c r="K33" s="276">
        <f>IF(AND(AND(D7&lt;&gt;"",ISNUMBER(D7),D7&gt;0,D7&lt;=80000),AND(D8&lt;&gt;"",OR(D8=j,D8=ja,D8=jb,D8=jc,D8=jd,D8=je,D8=jf,D8=jg,D8=jh,D8=ji,D8=jj)),AND(D9&lt;&gt;"",OR(D9="Var",D9="Yok")),AND(D10&lt;&gt;"",ISNUMBER(D10),D10&gt;0,D10&lt;=80000),SUM(K27:K32)&lt;1),ROUNDUP(SUM(K27:K32),0),IF(AND(AND(D7&lt;&gt;"",ISNUMBER(D7),D7&gt;0,D7&lt;=80000),AND(D8&lt;&gt;"",OR(D8=j,D8=ja,D8=jb,D8=jc,D8=jd,D8=je,D8=jf,D8=jg,D8=jh,D8=ji,D8=jj)),AND(D9&lt;&gt;"",OR(D9="Var",D9="Yok")),AND(D10&lt;&gt;"",ISNUMBER(D10),D10&gt;0,D10&lt;=80000),SUM(K27:K32)&gt;=1),ROUNDUP(SUM(K27:K32),0),0))</f>
        <v>214</v>
      </c>
      <c r="L33" s="233">
        <f>IF(AND(AND(D7&lt;&gt;"",ISNUMBER(D7),D7&gt;0,D7&lt;=80000),AND(D8&lt;&gt;"",OR(D8=j,D8=ja,D8=jb,D8=jc,D8=jd,D8=je,D8=jf,D8=jg,D8=jh,D8=ji,D8=jj)),AND(D9&lt;&gt;"",OR(D9="Var",D9="Yok")),AND(D10&lt;&gt;"",ISNUMBER(D10),D10&gt;0,D10&lt;=80000),SUM(L27:L32)&lt;1),ROUNDUP(SUM(L27:L32),0),IF(AND(AND(D7&lt;&gt;"",ISNUMBER(D7),D7&gt;0,D7&lt;=80000),AND(D8&lt;&gt;"",OR(D8=j,D8=ja,D8=jb,D8=jc,D8=jd,D8=je,D8=jf,D8=jg,D8=jh,D8=ji,D8=jj)),AND(D9&lt;&gt;"",OR(D9="Var",D9="Yok")),AND(D10&lt;&gt;"",ISNUMBER(D10),D10&gt;0,D10&lt;=80000),SUM(L27:L32)&gt;=1),ROUNDUP(SUM(L27:L32),0),0))</f>
        <v>214</v>
      </c>
      <c r="M33" s="234">
        <f>IF(AND(AND(D7&lt;&gt;"",ISNUMBER(D7),D7&gt;0,D7&lt;=80000),AND(D8&lt;&gt;"",OR(D8=j,D8=ja,D8=jb,D8=jc,D8=jd,D8=je,D8=jf,D8=jg,D8=jh,D8=ji,D8=jj)),AND(D9&lt;&gt;"",OR(D9="Var",D9="Yok")),AND(D10&lt;&gt;"",ISNUMBER(D10),D10&gt;0,D10&lt;=80000),SUM(M27:M32)&lt;1),ROUNDUP(SUM(M27:M32),0),IF(AND(AND(D7&lt;&gt;"",ISNUMBER(D7),D7&gt;0,D7&lt;=80000),AND(D8&lt;&gt;"",OR(D8=j,D8=ja,D8=jb,D8=jc,D8=jd,D8=je,D8=jf,D8=jg,D8=jh,D8=ji,D8=jj)),AND(D9&lt;&gt;"",OR(D9="Var",D9="Yok")),AND(D10&lt;&gt;"",ISNUMBER(D10),D10&gt;0,D10&lt;=80000),SUM(M27:M32)&gt;=1),ROUNDUP(SUM(M27:M32),0),0))</f>
        <v>214</v>
      </c>
      <c r="N33" s="235">
        <f>IF(AND(AND(D7&lt;&gt;"",ISNUMBER(D7),D7&gt;0,D7&lt;=80000),AND(D8&lt;&gt;"",OR(D8=j,D8=ja,D8=jb,D8=jc,D8=jd,D8=je,D8=jf,D8=jg,D8=jh,D8=ji,D8=jj)),AND(D9&lt;&gt;"",OR(D9="Var",D9="Yok")),AND(D10&lt;&gt;"",ISNUMBER(D10),D10&gt;0,D10&lt;=80000),SUM(N27:N32)&lt;1),ROUNDUP(SUM(N27:N32),0),IF(AND(AND(D7&lt;&gt;"",ISNUMBER(D7),D7&gt;0,D7&lt;=80000),AND(D8&lt;&gt;"",OR(D8=j,D8=ja,D8=jb,D8=jc,D8=jd,D8=je,D8=jf,D8=jg,D8=jh,D8=ji,D8=jj)),AND(D9&lt;&gt;"",OR(D9="Var",D9="Yok")),AND(D10&lt;&gt;"",ISNUMBER(D10),D10&gt;0,D10&lt;=80000),SUM(N27:N32)&gt;=1),ROUNDUP(SUM(N27:N32),0),0))</f>
        <v>427</v>
      </c>
      <c r="O33" s="1"/>
      <c r="P33" s="320">
        <v>31</v>
      </c>
      <c r="Q33" s="1"/>
    </row>
    <row r="34" spans="1:17" ht="12.75" customHeight="1">
      <c r="A34" s="1"/>
      <c r="B34" s="1"/>
      <c r="C34" s="1"/>
      <c r="D34" s="1"/>
      <c r="E34" s="1"/>
      <c r="F34" s="1"/>
      <c r="G34" s="1"/>
      <c r="H34" s="265" t="s">
        <v>43</v>
      </c>
      <c r="I34" s="265" t="s">
        <v>94</v>
      </c>
      <c r="J34" s="265" t="s">
        <v>95</v>
      </c>
      <c r="K34" s="265" t="s">
        <v>96</v>
      </c>
      <c r="L34" s="265" t="s">
        <v>97</v>
      </c>
      <c r="M34" s="265" t="s">
        <v>98</v>
      </c>
      <c r="N34" s="265" t="s">
        <v>99</v>
      </c>
      <c r="O34" s="1"/>
      <c r="P34" s="320">
        <v>32</v>
      </c>
      <c r="Q34" s="1"/>
    </row>
    <row r="35" spans="1:17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20">
        <v>33</v>
      </c>
      <c r="Q35" s="1"/>
    </row>
    <row r="36" spans="1:17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20">
        <v>34</v>
      </c>
      <c r="Q36" s="1"/>
    </row>
    <row r="37" spans="1:17" ht="12.75" customHeight="1" thickBot="1">
      <c r="A37" s="1"/>
      <c r="B37" s="1"/>
      <c r="C37" s="1"/>
      <c r="D37" s="1"/>
      <c r="E37" s="1"/>
      <c r="F37" s="265" t="s">
        <v>44</v>
      </c>
      <c r="G37" s="1"/>
      <c r="H37" s="265" t="s">
        <v>87</v>
      </c>
      <c r="I37" s="1"/>
      <c r="J37" s="1"/>
      <c r="K37" s="1"/>
      <c r="L37" s="1"/>
      <c r="M37" s="1"/>
      <c r="N37" s="1"/>
      <c r="O37" s="1"/>
      <c r="P37" s="320">
        <v>35</v>
      </c>
      <c r="Q37" s="1"/>
    </row>
    <row r="38" spans="1:17" ht="12.75" customHeight="1" thickBot="1">
      <c r="A38" s="1"/>
      <c r="B38" s="1"/>
      <c r="C38" s="154" t="s">
        <v>80</v>
      </c>
      <c r="D38" s="94"/>
      <c r="E38" s="1"/>
      <c r="F38" s="51" t="s">
        <v>24</v>
      </c>
      <c r="G38" s="1"/>
      <c r="H38" s="51" t="s">
        <v>24</v>
      </c>
      <c r="I38" s="1"/>
      <c r="J38" s="1"/>
      <c r="K38" s="325" t="s">
        <v>143</v>
      </c>
      <c r="L38" s="323"/>
      <c r="M38" s="323"/>
      <c r="N38" s="324"/>
      <c r="O38" s="1"/>
      <c r="P38" s="320">
        <v>36</v>
      </c>
      <c r="Q38" s="1"/>
    </row>
    <row r="39" spans="1:17" ht="12.75" customHeight="1" thickBot="1">
      <c r="A39" s="1"/>
      <c r="B39" s="1"/>
      <c r="C39" s="155" t="s">
        <v>85</v>
      </c>
      <c r="D39" s="95" t="s">
        <v>13</v>
      </c>
      <c r="E39" s="1"/>
      <c r="F39" s="80" t="s">
        <v>25</v>
      </c>
      <c r="G39" s="265" t="s">
        <v>41</v>
      </c>
      <c r="H39" s="78" t="s">
        <v>26</v>
      </c>
      <c r="I39" s="1"/>
      <c r="J39" s="1"/>
      <c r="K39" s="329" t="s">
        <v>141</v>
      </c>
      <c r="L39" s="329" t="s">
        <v>142</v>
      </c>
      <c r="M39" s="396" t="s">
        <v>140</v>
      </c>
      <c r="N39" s="397"/>
      <c r="O39" s="1"/>
      <c r="P39" s="320">
        <v>37</v>
      </c>
      <c r="Q39" s="1"/>
    </row>
    <row r="40" spans="1:17" ht="12.75" customHeight="1" thickBot="1">
      <c r="A40" s="1"/>
      <c r="B40" s="265" t="s">
        <v>86</v>
      </c>
      <c r="C40" s="156">
        <v>1</v>
      </c>
      <c r="D40" s="96">
        <v>1</v>
      </c>
      <c r="E40" s="1"/>
      <c r="F40" s="160" t="s">
        <v>32</v>
      </c>
      <c r="G40" s="1"/>
      <c r="H40" s="1"/>
      <c r="I40" s="1"/>
      <c r="J40" s="1"/>
      <c r="K40" s="338" t="s">
        <v>156</v>
      </c>
      <c r="L40" s="339" t="s">
        <v>155</v>
      </c>
      <c r="M40" s="394" t="s">
        <v>14</v>
      </c>
      <c r="N40" s="395"/>
      <c r="O40" s="1"/>
      <c r="P40" s="320">
        <v>38</v>
      </c>
      <c r="Q40" s="1"/>
    </row>
    <row r="41" spans="1:17" ht="12.75" customHeight="1" thickBot="1">
      <c r="A41" s="1"/>
      <c r="B41" s="265" t="s">
        <v>90</v>
      </c>
      <c r="C41" s="157">
        <v>2</v>
      </c>
      <c r="D41" s="98">
        <v>1.5</v>
      </c>
      <c r="E41" s="1"/>
      <c r="F41" s="265" t="s">
        <v>136</v>
      </c>
      <c r="G41" s="1"/>
      <c r="H41" s="1"/>
      <c r="I41" s="1"/>
      <c r="J41" s="326" t="s">
        <v>145</v>
      </c>
      <c r="K41" s="322">
        <f>AnaSayfa!I21</f>
        <v>0</v>
      </c>
      <c r="L41" s="347" t="str">
        <f>TEXT(425,"0,00")</f>
        <v>425,00</v>
      </c>
      <c r="M41" s="398" t="str">
        <f>IF(PRODUCT(K41,VALUE(L41))&lt;1000,TEXT(ROUNDUP(PRODUCT(K41,VALUE(L41)),0),"0,00"),IF(PRODUCT(K41,VALUE(L41))&gt;1000,TEXT(ROUNDUP(PRODUCT(K41,VALUE(L41)),0),"0.000,00"),""))</f>
        <v>0,00</v>
      </c>
      <c r="N41" s="399"/>
      <c r="O41" s="1"/>
      <c r="P41" s="320">
        <v>39</v>
      </c>
      <c r="Q41" s="1"/>
    </row>
    <row r="42" spans="1:17" ht="12.75" customHeight="1" thickBot="1">
      <c r="A42" s="1"/>
      <c r="B42" s="1"/>
      <c r="C42" s="158">
        <v>3</v>
      </c>
      <c r="D42" s="97">
        <v>1.75</v>
      </c>
      <c r="E42" s="1"/>
      <c r="F42" s="51" t="s">
        <v>24</v>
      </c>
      <c r="G42" s="1"/>
      <c r="H42" s="1"/>
      <c r="I42" s="1"/>
      <c r="J42" s="327" t="s">
        <v>144</v>
      </c>
      <c r="K42" s="328">
        <f>AnaSayfa!I21</f>
        <v>0</v>
      </c>
      <c r="L42" s="348" t="str">
        <f>TEXT(16,"0,00")</f>
        <v>16,00</v>
      </c>
      <c r="M42" s="400" t="str">
        <f>IF(PRODUCT(K42,VALUE(L42))&lt;1000,TEXT(ROUNDUP(PRODUCT(K42,VALUE(L42)),0),"0,00"),IF(PRODUCT(K42,VALUE(L42))&gt;1000,TEXT(ROUNDUP(PRODUCT(K42,VALUE(L42)),0),"0.000,00"),""))</f>
        <v>0,00</v>
      </c>
      <c r="N42" s="401"/>
      <c r="O42" s="1"/>
      <c r="P42" s="320">
        <v>40</v>
      </c>
      <c r="Q42" s="1"/>
    </row>
    <row r="43" spans="1:17" ht="12.75" customHeight="1" thickBot="1">
      <c r="A43" s="1"/>
      <c r="B43" s="1"/>
      <c r="C43" s="159">
        <f>IF(AND(D10&lt;&gt;"",ISNUMBER(D10),D10&gt;3),D10,4)</f>
        <v>4</v>
      </c>
      <c r="D43" s="99">
        <f>IF(C43&lt;&gt;"",SUM(1.75,PRODUCT(0.15,(SUM(C43,-C42))),0))</f>
        <v>1.9</v>
      </c>
      <c r="E43" s="1"/>
      <c r="F43" s="275" t="s">
        <v>32</v>
      </c>
      <c r="G43" s="1"/>
      <c r="H43" s="1"/>
      <c r="I43" s="1"/>
      <c r="J43" s="1"/>
      <c r="K43" s="1"/>
      <c r="L43" s="1"/>
      <c r="M43" s="1"/>
      <c r="N43" s="1"/>
      <c r="O43" s="1"/>
      <c r="P43" s="320">
        <v>41</v>
      </c>
      <c r="Q43" s="1"/>
    </row>
    <row r="44" spans="1:17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20">
        <v>42</v>
      </c>
      <c r="Q44" s="1"/>
    </row>
    <row r="45" spans="1:17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320">
        <v>43</v>
      </c>
      <c r="Q45" s="1"/>
    </row>
    <row r="46" spans="1:17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20">
        <v>44</v>
      </c>
      <c r="Q46" s="1"/>
    </row>
    <row r="47" spans="1:1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20">
        <v>45</v>
      </c>
      <c r="Q47" s="1"/>
    </row>
    <row r="48" spans="1:17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20">
        <v>46</v>
      </c>
      <c r="Q48" s="1"/>
    </row>
    <row r="49" spans="1:17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20">
        <v>47</v>
      </c>
      <c r="Q49" s="1"/>
    </row>
    <row r="50" spans="1:17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20">
        <v>48</v>
      </c>
      <c r="Q50" s="1"/>
    </row>
    <row r="51" spans="1:17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320">
        <v>49</v>
      </c>
      <c r="Q51" s="1"/>
    </row>
    <row r="52" spans="1:17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320">
        <v>50</v>
      </c>
      <c r="Q52" s="1"/>
    </row>
    <row r="53" spans="1:17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320">
        <v>51</v>
      </c>
      <c r="Q53" s="1"/>
    </row>
    <row r="54" spans="1:17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320">
        <v>52</v>
      </c>
      <c r="Q54" s="1"/>
    </row>
    <row r="55" spans="1:17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320">
        <v>53</v>
      </c>
      <c r="Q55" s="1"/>
    </row>
    <row r="56" spans="1:17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20">
        <v>54</v>
      </c>
      <c r="Q56" s="1"/>
    </row>
    <row r="57" spans="1:1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320">
        <v>55</v>
      </c>
      <c r="Q57" s="1"/>
    </row>
    <row r="58" spans="1:17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320">
        <v>56</v>
      </c>
      <c r="Q58" s="1"/>
    </row>
    <row r="59" spans="1:17" ht="12.75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320">
        <v>57</v>
      </c>
      <c r="Q59" s="1"/>
    </row>
    <row r="60" spans="1:17" ht="12.7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320">
        <v>58</v>
      </c>
      <c r="Q60" s="1"/>
    </row>
    <row r="61" spans="1:17" ht="12.75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320">
        <v>59</v>
      </c>
      <c r="Q61" s="1"/>
    </row>
    <row r="62" spans="1:17" ht="12.75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20">
        <v>60</v>
      </c>
      <c r="Q62" s="1"/>
    </row>
    <row r="63" spans="1:17" ht="12.75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320">
        <v>61</v>
      </c>
      <c r="Q63" s="1"/>
    </row>
    <row r="64" spans="1:17" ht="12.75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20">
        <v>62</v>
      </c>
      <c r="Q64" s="1"/>
    </row>
    <row r="65" spans="1:17" ht="12.75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20">
        <v>63</v>
      </c>
      <c r="Q65" s="1"/>
    </row>
    <row r="66" spans="1:17" ht="12.75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20">
        <v>64</v>
      </c>
      <c r="Q66" s="1"/>
    </row>
    <row r="67" spans="1:17" ht="12.7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20">
        <v>65</v>
      </c>
      <c r="Q67" s="1"/>
    </row>
    <row r="68" spans="1:17" ht="12.7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320">
        <v>66</v>
      </c>
      <c r="Q68" s="1"/>
    </row>
    <row r="69" spans="1:17" ht="12.7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320">
        <v>67</v>
      </c>
      <c r="Q69" s="1"/>
    </row>
    <row r="70" spans="1:17" ht="12.7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20">
        <v>68</v>
      </c>
      <c r="Q70" s="1"/>
    </row>
    <row r="71" spans="1:17" ht="12.7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20">
        <v>69</v>
      </c>
      <c r="Q71" s="1"/>
    </row>
    <row r="72" spans="1:17" ht="12.75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20">
        <v>70</v>
      </c>
      <c r="Q72" s="1"/>
    </row>
    <row r="73" spans="1:17" ht="12.75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20">
        <v>71</v>
      </c>
      <c r="Q73" s="1"/>
    </row>
    <row r="74" spans="1:17" ht="12.75" hidden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20">
        <v>72</v>
      </c>
      <c r="Q74" s="1"/>
    </row>
    <row r="75" spans="1:17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20">
        <v>73</v>
      </c>
      <c r="Q75" s="1"/>
    </row>
    <row r="76" spans="1:17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20">
        <v>74</v>
      </c>
      <c r="Q76" s="1"/>
    </row>
    <row r="77" spans="1:17" ht="12.7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20">
        <v>75</v>
      </c>
      <c r="Q77" s="1"/>
    </row>
    <row r="78" spans="1:17" ht="12.75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20">
        <v>76</v>
      </c>
      <c r="Q78" s="1"/>
    </row>
    <row r="79" spans="1:17" ht="12.75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320">
        <v>77</v>
      </c>
      <c r="Q79" s="1"/>
    </row>
    <row r="80" spans="1:17" ht="12.75" hidden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20">
        <v>78</v>
      </c>
      <c r="Q80" s="1"/>
    </row>
    <row r="81" spans="1:17" ht="12.75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20">
        <v>79</v>
      </c>
      <c r="Q81" s="1"/>
    </row>
    <row r="82" spans="1:17" ht="12.75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320">
        <v>80</v>
      </c>
      <c r="Q82" s="1"/>
    </row>
    <row r="83" spans="1:17" ht="12.75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320">
        <v>81</v>
      </c>
      <c r="Q83" s="1"/>
    </row>
    <row r="84" spans="1:17" ht="12.75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20">
        <v>82</v>
      </c>
      <c r="Q84" s="1"/>
    </row>
    <row r="85" spans="1:17" ht="12.75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320">
        <v>83</v>
      </c>
      <c r="Q85" s="1"/>
    </row>
    <row r="86" spans="1:17" ht="12.75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20">
        <v>84</v>
      </c>
      <c r="Q86" s="1"/>
    </row>
    <row r="87" spans="1:17" ht="12.75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320">
        <v>85</v>
      </c>
      <c r="Q87" s="1"/>
    </row>
    <row r="88" spans="1:17" ht="12.75" hidden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320">
        <v>86</v>
      </c>
      <c r="Q88" s="1"/>
    </row>
    <row r="89" spans="1:17" ht="12.75" hidden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320">
        <v>87</v>
      </c>
      <c r="Q89" s="1"/>
    </row>
    <row r="90" spans="1:17" ht="12.75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320">
        <v>88</v>
      </c>
      <c r="Q90" s="1"/>
    </row>
    <row r="91" spans="1:17" ht="12.75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320">
        <v>89</v>
      </c>
      <c r="Q91" s="1"/>
    </row>
    <row r="92" spans="1:17" ht="12.75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20">
        <v>90</v>
      </c>
      <c r="Q92" s="1"/>
    </row>
    <row r="93" spans="1:17" ht="12.75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320">
        <v>91</v>
      </c>
      <c r="Q93" s="1"/>
    </row>
    <row r="94" spans="1:17" ht="12.75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320">
        <v>92</v>
      </c>
      <c r="Q94" s="1"/>
    </row>
    <row r="95" spans="1:17" ht="12.75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320">
        <v>93</v>
      </c>
      <c r="Q95" s="1"/>
    </row>
    <row r="96" spans="1:17" ht="12.75" hidden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320">
        <v>94</v>
      </c>
      <c r="Q96" s="1"/>
    </row>
    <row r="97" spans="1:17" ht="12.75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320">
        <v>95</v>
      </c>
      <c r="Q97" s="1"/>
    </row>
    <row r="98" spans="1:17" ht="12.75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320">
        <v>96</v>
      </c>
      <c r="Q98" s="1"/>
    </row>
    <row r="99" spans="1:17" ht="12.75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320">
        <v>97</v>
      </c>
      <c r="Q99" s="1"/>
    </row>
    <row r="100" spans="1:17" ht="12.75" hidden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320">
        <v>98</v>
      </c>
      <c r="Q100" s="1"/>
    </row>
    <row r="101" spans="1:17" ht="12.75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320">
        <v>99</v>
      </c>
      <c r="Q101" s="1"/>
    </row>
    <row r="102" spans="1:17" ht="12.75" hidden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 hidden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 hidden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 hidden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 hidden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 hidden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 hidden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 hidden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 hidden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 hidden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 hidden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 hidden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 hidden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 hidden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</sheetData>
  <sheetProtection password="DFBB" sheet="1" objects="1" scenarios="1"/>
  <mergeCells count="4">
    <mergeCell ref="M40:N40"/>
    <mergeCell ref="M39:N39"/>
    <mergeCell ref="M41:N41"/>
    <mergeCell ref="M42:N42"/>
  </mergeCells>
  <conditionalFormatting sqref="B27:B32 E10:E15">
    <cfRule type="expression" priority="1" dxfId="11" stopIfTrue="1">
      <formula>E10&gt;0</formula>
    </cfRule>
  </conditionalFormatting>
  <conditionalFormatting sqref="C27:C32 F10:F15">
    <cfRule type="expression" priority="2" dxfId="11" stopIfTrue="1">
      <formula>E10&gt;0</formula>
    </cfRule>
  </conditionalFormatting>
  <printOptions horizontalCentered="1" verticalCentered="1"/>
  <pageMargins left="0.11811023622047245" right="0.11811023622047245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8"/>
  <sheetViews>
    <sheetView workbookViewId="0" topLeftCell="A1">
      <pane xSplit="14" ySplit="8" topLeftCell="O9" activePane="bottomRight" state="frozen"/>
      <selection pane="topLeft" activeCell="A1" sqref="A1"/>
      <selection pane="topRight" activeCell="O1" sqref="O1"/>
      <selection pane="bottomLeft" activeCell="A9" sqref="A9"/>
      <selection pane="bottomRight" activeCell="P9" sqref="P9"/>
    </sheetView>
  </sheetViews>
  <sheetFormatPr defaultColWidth="9.140625" defaultRowHeight="12.75" customHeight="1" zeroHeight="1"/>
  <cols>
    <col min="1" max="1" width="2.7109375" style="88" customWidth="1"/>
    <col min="2" max="13" width="3.28125" style="88" customWidth="1"/>
    <col min="14" max="14" width="0.13671875" style="88" customWidth="1"/>
    <col min="15" max="26" width="4.7109375" style="88" customWidth="1"/>
    <col min="27" max="27" width="2.7109375" style="88" customWidth="1"/>
    <col min="28" max="16384" width="0" style="88" hidden="1" customWidth="1"/>
  </cols>
  <sheetData>
    <row r="1" spans="1:27" ht="12.7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O1" s="404" t="s">
        <v>134</v>
      </c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162"/>
    </row>
    <row r="2" spans="1:27" ht="12.7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O2" s="404" t="s">
        <v>185</v>
      </c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162"/>
    </row>
    <row r="3" spans="1:27" ht="12.75" customHeight="1" thickBo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O3" s="164"/>
      <c r="P3" s="193">
        <v>30045000</v>
      </c>
      <c r="Q3" s="193">
        <v>59277000</v>
      </c>
      <c r="R3" s="193">
        <v>99901000</v>
      </c>
      <c r="S3" s="193">
        <v>114233000</v>
      </c>
      <c r="T3" s="193">
        <v>128496000</v>
      </c>
      <c r="U3" s="193">
        <v>142762000</v>
      </c>
      <c r="V3" s="193">
        <v>171342000</v>
      </c>
      <c r="W3" s="193">
        <v>214134000</v>
      </c>
      <c r="X3" s="193">
        <v>256977000</v>
      </c>
      <c r="Y3" s="193">
        <v>299838000</v>
      </c>
      <c r="Z3" s="193">
        <v>351413000</v>
      </c>
      <c r="AA3" s="162"/>
    </row>
    <row r="4" spans="1:27" ht="12.75" customHeight="1" thickBo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O4" s="405" t="s">
        <v>110</v>
      </c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7"/>
      <c r="AA4" s="162"/>
    </row>
    <row r="5" spans="1:27" ht="12.75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O5" s="189" t="s">
        <v>48</v>
      </c>
      <c r="P5" s="269" t="s">
        <v>49</v>
      </c>
      <c r="Q5" s="269" t="s">
        <v>50</v>
      </c>
      <c r="R5" s="269" t="s">
        <v>51</v>
      </c>
      <c r="S5" s="269" t="s">
        <v>52</v>
      </c>
      <c r="T5" s="269" t="s">
        <v>53</v>
      </c>
      <c r="U5" s="269" t="s">
        <v>54</v>
      </c>
      <c r="V5" s="269" t="s">
        <v>55</v>
      </c>
      <c r="W5" s="269" t="s">
        <v>56</v>
      </c>
      <c r="X5" s="269" t="s">
        <v>57</v>
      </c>
      <c r="Y5" s="269" t="s">
        <v>58</v>
      </c>
      <c r="Z5" s="269" t="s">
        <v>59</v>
      </c>
      <c r="AA5" s="162"/>
    </row>
    <row r="6" spans="1:27" ht="12.7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O6" s="190" t="s">
        <v>60</v>
      </c>
      <c r="P6" s="191">
        <v>105</v>
      </c>
      <c r="Q6" s="191">
        <v>230</v>
      </c>
      <c r="R6" s="191">
        <v>375</v>
      </c>
      <c r="S6" s="191">
        <v>427</v>
      </c>
      <c r="T6" s="191">
        <v>482</v>
      </c>
      <c r="U6" s="191">
        <v>533</v>
      </c>
      <c r="V6" s="191">
        <v>640</v>
      </c>
      <c r="W6" s="191">
        <v>794</v>
      </c>
      <c r="X6" s="191">
        <v>962</v>
      </c>
      <c r="Y6" s="191">
        <v>1098</v>
      </c>
      <c r="Z6" s="191">
        <v>1311</v>
      </c>
      <c r="AA6" s="162"/>
    </row>
    <row r="7" spans="1:27" ht="12.75" customHeight="1" thickBo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O7" s="190"/>
      <c r="P7" s="270" t="s">
        <v>132</v>
      </c>
      <c r="Q7" s="270" t="s">
        <v>132</v>
      </c>
      <c r="R7" s="270" t="s">
        <v>133</v>
      </c>
      <c r="S7" s="270" t="s">
        <v>132</v>
      </c>
      <c r="T7" s="270" t="s">
        <v>132</v>
      </c>
      <c r="U7" s="270" t="s">
        <v>132</v>
      </c>
      <c r="V7" s="270" t="s">
        <v>132</v>
      </c>
      <c r="W7" s="270" t="s">
        <v>132</v>
      </c>
      <c r="X7" s="270" t="s">
        <v>132</v>
      </c>
      <c r="Y7" s="270" t="s">
        <v>132</v>
      </c>
      <c r="Z7" s="270" t="s">
        <v>132</v>
      </c>
      <c r="AA7" s="162"/>
    </row>
    <row r="8" spans="1:27" s="89" customFormat="1" ht="12.75" customHeight="1" thickBot="1">
      <c r="A8" s="163"/>
      <c r="B8" s="266" t="s">
        <v>130</v>
      </c>
      <c r="C8" s="267" t="s">
        <v>61</v>
      </c>
      <c r="D8" s="267" t="s">
        <v>62</v>
      </c>
      <c r="E8" s="267" t="s">
        <v>15</v>
      </c>
      <c r="F8" s="267" t="s">
        <v>16</v>
      </c>
      <c r="G8" s="267" t="s">
        <v>17</v>
      </c>
      <c r="H8" s="267" t="s">
        <v>18</v>
      </c>
      <c r="I8" s="267" t="s">
        <v>19</v>
      </c>
      <c r="J8" s="267" t="s">
        <v>20</v>
      </c>
      <c r="K8" s="267" t="s">
        <v>21</v>
      </c>
      <c r="L8" s="267" t="s">
        <v>22</v>
      </c>
      <c r="M8" s="268" t="s">
        <v>23</v>
      </c>
      <c r="O8" s="192" t="s">
        <v>131</v>
      </c>
      <c r="P8" s="192" t="s">
        <v>63</v>
      </c>
      <c r="Q8" s="192" t="s">
        <v>63</v>
      </c>
      <c r="R8" s="192" t="s">
        <v>63</v>
      </c>
      <c r="S8" s="192" t="s">
        <v>63</v>
      </c>
      <c r="T8" s="192" t="s">
        <v>63</v>
      </c>
      <c r="U8" s="192" t="s">
        <v>63</v>
      </c>
      <c r="V8" s="192" t="s">
        <v>63</v>
      </c>
      <c r="W8" s="192" t="s">
        <v>63</v>
      </c>
      <c r="X8" s="192" t="s">
        <v>63</v>
      </c>
      <c r="Y8" s="192" t="s">
        <v>63</v>
      </c>
      <c r="Z8" s="192" t="s">
        <v>63</v>
      </c>
      <c r="AA8" s="163"/>
    </row>
    <row r="9" spans="1:27" ht="12.75" customHeight="1">
      <c r="A9" s="162"/>
      <c r="B9" s="165">
        <v>250</v>
      </c>
      <c r="C9" s="166">
        <v>4.37</v>
      </c>
      <c r="D9" s="167">
        <v>4.93</v>
      </c>
      <c r="E9" s="167">
        <v>5.49</v>
      </c>
      <c r="F9" s="167">
        <v>5.49</v>
      </c>
      <c r="G9" s="167">
        <v>6.85</v>
      </c>
      <c r="H9" s="167">
        <v>6.85</v>
      </c>
      <c r="I9" s="167">
        <v>6.85</v>
      </c>
      <c r="J9" s="167">
        <v>6.61</v>
      </c>
      <c r="K9" s="167">
        <v>6.61</v>
      </c>
      <c r="L9" s="167">
        <v>6.61</v>
      </c>
      <c r="M9" s="168">
        <v>6.61</v>
      </c>
      <c r="O9" s="177">
        <v>250</v>
      </c>
      <c r="P9" s="178">
        <f>((O9*P6*C9*0.5/100)*0.6)*0.5</f>
        <v>172.06875</v>
      </c>
      <c r="Q9" s="179">
        <f>((O9*Q6*D9*0.5/100)*0.6)*0.5</f>
        <v>425.2125</v>
      </c>
      <c r="R9" s="179">
        <f>((O9*R6*E9*0.5/100)*0.6)*0.5</f>
        <v>772.03125</v>
      </c>
      <c r="S9" s="179">
        <f>((O9*S6*F9*0.5/100)*0.6)*0.5</f>
        <v>879.08625</v>
      </c>
      <c r="T9" s="179">
        <f>((O9*T6*G9*0.5/100)*0.6)*0.5</f>
        <v>1238.1375</v>
      </c>
      <c r="U9" s="179">
        <f>((O9*U6*H9*0.5/100)*0.6)*0.5</f>
        <v>1369.14375</v>
      </c>
      <c r="V9" s="179">
        <f>((O9*V6*I9*0.5/100)*0.6)*0.5</f>
        <v>1644</v>
      </c>
      <c r="W9" s="179">
        <f>((O9*W6*J9*0.5/100)*0.6)*0.5</f>
        <v>1968.1275</v>
      </c>
      <c r="X9" s="179">
        <f>((O9*X6*K9*0.5/100)*0.6)*0.5</f>
        <v>2384.5575</v>
      </c>
      <c r="Y9" s="179">
        <f>((O9*Y6*L9*0.5/100)*0.6)*0.5</f>
        <v>2721.6675</v>
      </c>
      <c r="Z9" s="180">
        <f>((O9*Z6*M9*0.5/100)*0.6)*0.5</f>
        <v>3249.64125</v>
      </c>
      <c r="AA9" s="162"/>
    </row>
    <row r="10" spans="1:27" ht="12.75" customHeight="1">
      <c r="A10" s="162"/>
      <c r="B10" s="169">
        <v>300</v>
      </c>
      <c r="C10" s="170">
        <v>4.28</v>
      </c>
      <c r="D10" s="171">
        <v>4.84</v>
      </c>
      <c r="E10" s="171">
        <v>5.4</v>
      </c>
      <c r="F10" s="171">
        <v>5.4</v>
      </c>
      <c r="G10" s="171">
        <v>5.96</v>
      </c>
      <c r="H10" s="171">
        <v>5.96</v>
      </c>
      <c r="I10" s="171">
        <v>5.96</v>
      </c>
      <c r="J10" s="171">
        <v>6.52</v>
      </c>
      <c r="K10" s="171">
        <v>6.52</v>
      </c>
      <c r="L10" s="171">
        <v>6.52</v>
      </c>
      <c r="M10" s="172">
        <v>6.52</v>
      </c>
      <c r="O10" s="181">
        <v>300</v>
      </c>
      <c r="P10" s="182">
        <f>((O10*P6*C10*0.5/100)*0.6)*0.5</f>
        <v>202.23</v>
      </c>
      <c r="Q10" s="183">
        <f>((O10*Q6*D10*0.5/100)*0.6)*0.5</f>
        <v>500.93999999999994</v>
      </c>
      <c r="R10" s="183">
        <f>((O10*R6*E10*0.5/100)*0.6)*0.5</f>
        <v>911.25</v>
      </c>
      <c r="S10" s="183">
        <f>((O10*S6*F10*0.5/100)*0.6)*0.5</f>
        <v>1037.61</v>
      </c>
      <c r="T10" s="183">
        <f>((O10*T6*G10*0.5/100)*0.6)*0.5</f>
        <v>1292.724</v>
      </c>
      <c r="U10" s="183">
        <f>((O10*U6*H10*0.5/100)*0.6)*0.5</f>
        <v>1429.506</v>
      </c>
      <c r="V10" s="183">
        <f>((O10*V6*I10*0.5/100)*0.6)*0.5</f>
        <v>1716.48</v>
      </c>
      <c r="W10" s="183">
        <f>((O10*W6*J10*0.5/100)*0.6)*0.5</f>
        <v>2329.596</v>
      </c>
      <c r="X10" s="183">
        <f>((O10*X6*K10*0.5/100)*0.6)*0.5</f>
        <v>2822.5079999999994</v>
      </c>
      <c r="Y10" s="183">
        <f>((O10*Y6*L10*0.5/100)*0.6)*0.5</f>
        <v>3221.532</v>
      </c>
      <c r="Z10" s="184">
        <f>((O10*Z6*M10*0.5/100)*0.6)*0.5</f>
        <v>3846.4739999999997</v>
      </c>
      <c r="AA10" s="162"/>
    </row>
    <row r="11" spans="1:27" ht="12.75" customHeight="1">
      <c r="A11" s="162"/>
      <c r="B11" s="169">
        <v>400</v>
      </c>
      <c r="C11" s="170">
        <v>4.1</v>
      </c>
      <c r="D11" s="171">
        <v>4.66</v>
      </c>
      <c r="E11" s="171">
        <v>5.22</v>
      </c>
      <c r="F11" s="171">
        <v>5.22</v>
      </c>
      <c r="G11" s="171">
        <v>5.78</v>
      </c>
      <c r="H11" s="171">
        <v>5.78</v>
      </c>
      <c r="I11" s="171">
        <v>5.78</v>
      </c>
      <c r="J11" s="171">
        <v>6.34</v>
      </c>
      <c r="K11" s="171">
        <v>6.34</v>
      </c>
      <c r="L11" s="171">
        <v>6.34</v>
      </c>
      <c r="M11" s="172">
        <v>6.34</v>
      </c>
      <c r="O11" s="181">
        <v>400</v>
      </c>
      <c r="P11" s="182">
        <f>((O11*P6*C11*0.5/100)*0.6)*0.5</f>
        <v>258.29999999999995</v>
      </c>
      <c r="Q11" s="183">
        <f>((O11*Q6*D11*0.5/100)*0.6)*0.5</f>
        <v>643.0799999999999</v>
      </c>
      <c r="R11" s="183">
        <f>((O11*R6*E11*0.5/100)*0.6)*0.5</f>
        <v>1174.5</v>
      </c>
      <c r="S11" s="183">
        <f>((O11*S6*F11*0.5/100)*0.6)*0.5</f>
        <v>1337.364</v>
      </c>
      <c r="T11" s="183">
        <f>((O11*T6*G11*0.5/100)*0.6)*0.5</f>
        <v>1671.576</v>
      </c>
      <c r="U11" s="183">
        <f>((O11*U6*H11*0.5/100)*0.6)*0.5</f>
        <v>1848.4439999999997</v>
      </c>
      <c r="V11" s="183">
        <f>((O11*V6*I11*0.5/100)*0.6)*0.5</f>
        <v>2219.52</v>
      </c>
      <c r="W11" s="183">
        <f>((O11*W6*J11*0.5/100)*0.6)*0.5</f>
        <v>3020.3759999999997</v>
      </c>
      <c r="X11" s="183">
        <f>((O11*X6*K11*0.5/100)*0.6)*0.5</f>
        <v>3659.448</v>
      </c>
      <c r="Y11" s="183">
        <f>((O11*Y6*L11*0.5/100)*0.6)*0.5</f>
        <v>4176.7919999999995</v>
      </c>
      <c r="Z11" s="184">
        <f>((O11*Z6*M11*0.5/100)*0.6)*0.5</f>
        <v>4987.044</v>
      </c>
      <c r="AA11" s="162"/>
    </row>
    <row r="12" spans="1:27" ht="12.75" customHeight="1">
      <c r="A12" s="162"/>
      <c r="B12" s="169">
        <v>500</v>
      </c>
      <c r="C12" s="170">
        <v>3.92</v>
      </c>
      <c r="D12" s="171">
        <v>4.48</v>
      </c>
      <c r="E12" s="171">
        <v>5.04</v>
      </c>
      <c r="F12" s="171">
        <v>5.04</v>
      </c>
      <c r="G12" s="171">
        <v>5.6</v>
      </c>
      <c r="H12" s="171">
        <v>5.6</v>
      </c>
      <c r="I12" s="171">
        <v>5.6</v>
      </c>
      <c r="J12" s="171">
        <v>6.16</v>
      </c>
      <c r="K12" s="171">
        <v>6.16</v>
      </c>
      <c r="L12" s="171">
        <v>6.16</v>
      </c>
      <c r="M12" s="172">
        <v>6.16</v>
      </c>
      <c r="O12" s="181">
        <v>500</v>
      </c>
      <c r="P12" s="182">
        <f>((O12*P6*C12*0.5/100)*0.6)*0.5</f>
        <v>308.7</v>
      </c>
      <c r="Q12" s="183">
        <f>((O12*Q6*D12*0.5/100)*0.6)*0.5</f>
        <v>772.8000000000001</v>
      </c>
      <c r="R12" s="183">
        <f>((O12*R6*E12*0.5/100)*0.6)*0.5</f>
        <v>1417.5</v>
      </c>
      <c r="S12" s="183">
        <f>((O12*S6*F12*0.5/100)*0.6)*0.5</f>
        <v>1614.06</v>
      </c>
      <c r="T12" s="183">
        <f>((O12*T6*G12*0.5/100)*0.6)*0.5</f>
        <v>2024.3999999999999</v>
      </c>
      <c r="U12" s="183">
        <f>((O12*U6*H12*0.5/100)*0.6)*0.5</f>
        <v>2238.6</v>
      </c>
      <c r="V12" s="183">
        <f>((O12*V6*I12*0.5/100)*0.6)*0.5</f>
        <v>2688</v>
      </c>
      <c r="W12" s="183">
        <f>((O12*W6*J12*0.5/100)*0.6)*0.5</f>
        <v>3668.28</v>
      </c>
      <c r="X12" s="183">
        <f>((O12*X6*K12*0.5/100)*0.6)*0.5</f>
        <v>4444.44</v>
      </c>
      <c r="Y12" s="183">
        <f>((O12*Y6*L12*0.5/100)*0.6)*0.5</f>
        <v>5072.76</v>
      </c>
      <c r="Z12" s="184">
        <f>((O12*Z6*M12*0.5/100)*0.6)*0.5</f>
        <v>6056.820000000001</v>
      </c>
      <c r="AA12" s="162"/>
    </row>
    <row r="13" spans="1:27" ht="12.75" customHeight="1">
      <c r="A13" s="162"/>
      <c r="B13" s="169">
        <v>600</v>
      </c>
      <c r="C13" s="170">
        <v>3.74</v>
      </c>
      <c r="D13" s="171">
        <v>4.3</v>
      </c>
      <c r="E13" s="171">
        <v>4.86</v>
      </c>
      <c r="F13" s="171">
        <v>4.86</v>
      </c>
      <c r="G13" s="171">
        <v>5.42</v>
      </c>
      <c r="H13" s="171">
        <v>5.42</v>
      </c>
      <c r="I13" s="171">
        <v>5.42</v>
      </c>
      <c r="J13" s="171">
        <v>5.98</v>
      </c>
      <c r="K13" s="171">
        <v>5.98</v>
      </c>
      <c r="L13" s="171">
        <v>5.98</v>
      </c>
      <c r="M13" s="172">
        <v>5.98</v>
      </c>
      <c r="O13" s="181">
        <v>600</v>
      </c>
      <c r="P13" s="182">
        <f>((O13*P6*C13*0.5/100)*0.6)*0.5</f>
        <v>353.42999999999995</v>
      </c>
      <c r="Q13" s="183">
        <f>((O13*Q6*D13*0.5/100)*0.6)*0.5</f>
        <v>890.1</v>
      </c>
      <c r="R13" s="183">
        <f>((O13*R6*E13*0.5/100)*0.6)*0.5</f>
        <v>1640.25</v>
      </c>
      <c r="S13" s="183">
        <f>((O13*S6*F13*0.5/100)*0.6)*0.5</f>
        <v>1867.6979999999999</v>
      </c>
      <c r="T13" s="183">
        <f>((O13*T6*G13*0.5/100)*0.6)*0.5</f>
        <v>2351.196</v>
      </c>
      <c r="U13" s="183">
        <f>((O13*U6*H13*0.5/100)*0.6)*0.5</f>
        <v>2599.9739999999997</v>
      </c>
      <c r="V13" s="183">
        <f>((O13*V6*I13*0.5/100)*0.6)*0.5</f>
        <v>3121.9199999999996</v>
      </c>
      <c r="W13" s="183">
        <f>((O13*W6*J13*0.5/100)*0.6)*0.5</f>
        <v>4273.308</v>
      </c>
      <c r="X13" s="183">
        <f>((O13*X6*K13*0.5/100)*0.6)*0.5</f>
        <v>5177.484</v>
      </c>
      <c r="Y13" s="183">
        <f>((O13*Y6*L13*0.5/100)*0.6)*0.5</f>
        <v>5909.436000000001</v>
      </c>
      <c r="Z13" s="184">
        <f>((O13*Z6*M13*0.5/100)*0.6)*0.5</f>
        <v>7055.802</v>
      </c>
      <c r="AA13" s="162"/>
    </row>
    <row r="14" spans="1:27" ht="12.75" customHeight="1">
      <c r="A14" s="162"/>
      <c r="B14" s="169">
        <v>700</v>
      </c>
      <c r="C14" s="170">
        <v>3.56</v>
      </c>
      <c r="D14" s="171">
        <v>4.12</v>
      </c>
      <c r="E14" s="171">
        <v>4.68</v>
      </c>
      <c r="F14" s="171">
        <v>4.68</v>
      </c>
      <c r="G14" s="171">
        <v>5.24</v>
      </c>
      <c r="H14" s="171">
        <v>5.24</v>
      </c>
      <c r="I14" s="171">
        <v>5.24</v>
      </c>
      <c r="J14" s="171">
        <v>5.8</v>
      </c>
      <c r="K14" s="171">
        <v>5.8</v>
      </c>
      <c r="L14" s="171">
        <v>5.8</v>
      </c>
      <c r="M14" s="172">
        <v>5.8</v>
      </c>
      <c r="O14" s="181">
        <v>700</v>
      </c>
      <c r="P14" s="182">
        <f>((O14*P6*C14*0.5/100)*0.6)*0.5</f>
        <v>392.48999999999995</v>
      </c>
      <c r="Q14" s="183">
        <f>((O14*Q6*D14*0.5/100)*0.6)*0.5</f>
        <v>994.9799999999999</v>
      </c>
      <c r="R14" s="183">
        <f>((O14*R6*E14*0.5/100)*0.6)*0.5</f>
        <v>1842.75</v>
      </c>
      <c r="S14" s="183">
        <f>((O14*S6*F14*0.5/100)*0.6)*0.5</f>
        <v>2098.278</v>
      </c>
      <c r="T14" s="183">
        <f>((O14*T6*G14*0.5/100)*0.6)*0.5</f>
        <v>2651.9639999999995</v>
      </c>
      <c r="U14" s="183">
        <f>((O14*U6*H14*0.5/100)*0.6)*0.5</f>
        <v>2932.566</v>
      </c>
      <c r="V14" s="183">
        <f>((O14*V6*I14*0.5/100)*0.6)*0.5</f>
        <v>3521.28</v>
      </c>
      <c r="W14" s="183">
        <f>((O14*W6*J14*0.5/100)*0.6)*0.5</f>
        <v>4835.46</v>
      </c>
      <c r="X14" s="183">
        <f>((O14*X6*K14*0.5/100)*0.6)*0.5</f>
        <v>5858.579999999999</v>
      </c>
      <c r="Y14" s="183">
        <f>((O14*Y6*L14*0.5/100)*0.6)*0.5</f>
        <v>6686.820000000001</v>
      </c>
      <c r="Z14" s="184">
        <f>((O14*Z6*M14*0.5/100)*0.6)*0.5</f>
        <v>7983.99</v>
      </c>
      <c r="AA14" s="162"/>
    </row>
    <row r="15" spans="1:27" ht="12.75" customHeight="1">
      <c r="A15" s="162"/>
      <c r="B15" s="169">
        <v>800</v>
      </c>
      <c r="C15" s="170">
        <v>3.38</v>
      </c>
      <c r="D15" s="171">
        <v>3.94</v>
      </c>
      <c r="E15" s="171">
        <v>4.5</v>
      </c>
      <c r="F15" s="171">
        <v>4.5</v>
      </c>
      <c r="G15" s="171">
        <v>5.06</v>
      </c>
      <c r="H15" s="171">
        <v>5.06</v>
      </c>
      <c r="I15" s="171">
        <v>5.06</v>
      </c>
      <c r="J15" s="171">
        <v>5.62</v>
      </c>
      <c r="K15" s="171">
        <v>5.62</v>
      </c>
      <c r="L15" s="171">
        <v>5.62</v>
      </c>
      <c r="M15" s="172">
        <v>5.62</v>
      </c>
      <c r="O15" s="181">
        <v>800</v>
      </c>
      <c r="P15" s="182">
        <f>((O15*P6*C15*0.5/100)*0.6)*0.5</f>
        <v>425.87999999999994</v>
      </c>
      <c r="Q15" s="183">
        <f>((O15*Q6*D15*0.5/100)*0.6)*0.5</f>
        <v>1087.44</v>
      </c>
      <c r="R15" s="183">
        <f>((O15*R6*E15*0.5/100)*0.6)*0.5</f>
        <v>2025</v>
      </c>
      <c r="S15" s="183">
        <f>((O15*S6*F15*0.5/100)*0.6)*0.5</f>
        <v>2305.7999999999997</v>
      </c>
      <c r="T15" s="183">
        <f>((O15*T6*G15*0.5/100)*0.6)*0.5</f>
        <v>2926.7039999999993</v>
      </c>
      <c r="U15" s="183">
        <f>((O15*U6*H15*0.5/100)*0.6)*0.5</f>
        <v>3236.3759999999997</v>
      </c>
      <c r="V15" s="183">
        <f>((O15*V6*I15*0.5/100)*0.6)*0.5</f>
        <v>3886.08</v>
      </c>
      <c r="W15" s="183">
        <f>((O15*W6*J15*0.5/100)*0.6)*0.5</f>
        <v>5354.736</v>
      </c>
      <c r="X15" s="183">
        <f>((O15*X6*K15*0.5/100)*0.6)*0.5</f>
        <v>6487.727999999999</v>
      </c>
      <c r="Y15" s="183">
        <f>((O15*Y6*L15*0.5/100)*0.6)*0.5</f>
        <v>7404.912</v>
      </c>
      <c r="Z15" s="184">
        <f>((O15*Z6*M15*0.5/100)*0.6)*0.5</f>
        <v>8841.384</v>
      </c>
      <c r="AA15" s="162"/>
    </row>
    <row r="16" spans="1:27" ht="12.75" customHeight="1">
      <c r="A16" s="162"/>
      <c r="B16" s="169">
        <v>900</v>
      </c>
      <c r="C16" s="170">
        <v>3.2</v>
      </c>
      <c r="D16" s="171">
        <v>3.76</v>
      </c>
      <c r="E16" s="171">
        <v>4.32</v>
      </c>
      <c r="F16" s="171">
        <v>4.32</v>
      </c>
      <c r="G16" s="171">
        <v>4.88</v>
      </c>
      <c r="H16" s="171">
        <v>4.88</v>
      </c>
      <c r="I16" s="171">
        <v>4.88</v>
      </c>
      <c r="J16" s="171">
        <v>5.44</v>
      </c>
      <c r="K16" s="171">
        <v>5.44</v>
      </c>
      <c r="L16" s="171">
        <v>5.44</v>
      </c>
      <c r="M16" s="172">
        <v>5.44</v>
      </c>
      <c r="O16" s="181">
        <v>900</v>
      </c>
      <c r="P16" s="182">
        <f>((O16*P6*C16*0.5/100)*0.6)*0.5</f>
        <v>453.59999999999997</v>
      </c>
      <c r="Q16" s="183">
        <f>((O16*Q6*D16*0.5/100)*0.6)*0.5</f>
        <v>1167.48</v>
      </c>
      <c r="R16" s="183">
        <f>((O16*R6*E16*0.5/100)*0.6)*0.5</f>
        <v>2187</v>
      </c>
      <c r="S16" s="183">
        <f>((O16*S6*F16*0.5/100)*0.6)*0.5</f>
        <v>2490.2639999999997</v>
      </c>
      <c r="T16" s="183">
        <f>((O16*T6*G16*0.5/100)*0.6)*0.5</f>
        <v>3175.4159999999997</v>
      </c>
      <c r="U16" s="183">
        <f>((O16*U6*H16*0.5/100)*0.6)*0.5</f>
        <v>3511.404</v>
      </c>
      <c r="V16" s="183">
        <f>((O16*V6*I16*0.5/100)*0.6)*0.5</f>
        <v>4216.32</v>
      </c>
      <c r="W16" s="183">
        <f>((O16*W6*J16*0.5/100)*0.6)*0.5</f>
        <v>5831.136</v>
      </c>
      <c r="X16" s="183">
        <f>((O16*X6*K16*0.5/100)*0.6)*0.5</f>
        <v>7064.927999999999</v>
      </c>
      <c r="Y16" s="183">
        <f>((O16*Y6*L16*0.5/100)*0.6)*0.5</f>
        <v>8063.7119999999995</v>
      </c>
      <c r="Z16" s="184">
        <f>((O16*Z6*M16*0.5/100)*0.6)*0.5</f>
        <v>9627.983999999999</v>
      </c>
      <c r="AA16" s="162"/>
    </row>
    <row r="17" spans="1:27" ht="12.75" customHeight="1">
      <c r="A17" s="162"/>
      <c r="B17" s="169">
        <v>1000</v>
      </c>
      <c r="C17" s="170">
        <v>3.02</v>
      </c>
      <c r="D17" s="171">
        <v>3.58</v>
      </c>
      <c r="E17" s="171">
        <v>4.14</v>
      </c>
      <c r="F17" s="171">
        <v>4.14</v>
      </c>
      <c r="G17" s="171">
        <v>4.7</v>
      </c>
      <c r="H17" s="171">
        <v>4.7</v>
      </c>
      <c r="I17" s="171">
        <v>4.7</v>
      </c>
      <c r="J17" s="171">
        <v>5.26</v>
      </c>
      <c r="K17" s="171">
        <v>5.26</v>
      </c>
      <c r="L17" s="171">
        <v>5.26</v>
      </c>
      <c r="M17" s="172">
        <v>5.26</v>
      </c>
      <c r="O17" s="181">
        <v>1000</v>
      </c>
      <c r="P17" s="182">
        <f>((O17*P6*C17*0.5/100)*0.6)*0.5</f>
        <v>475.65</v>
      </c>
      <c r="Q17" s="183">
        <f>((O17*Q6*D17*0.5/100)*0.6)*0.5</f>
        <v>1235.1</v>
      </c>
      <c r="R17" s="183">
        <f>((O17*R6*E17*0.5/100)*0.6)*0.5</f>
        <v>2328.7499999999995</v>
      </c>
      <c r="S17" s="183">
        <f>((O17*S6*F17*0.5/100)*0.6)*0.5</f>
        <v>2651.6699999999996</v>
      </c>
      <c r="T17" s="183">
        <f>((O17*T6*G17*0.5/100)*0.6)*0.5</f>
        <v>3398.1</v>
      </c>
      <c r="U17" s="183">
        <f>((O17*U6*H17*0.5/100)*0.6)*0.5</f>
        <v>3757.6499999999996</v>
      </c>
      <c r="V17" s="183">
        <f>((O17*V6*I17*0.5/100)*0.6)*0.5</f>
        <v>4512</v>
      </c>
      <c r="W17" s="183">
        <f>((O17*W6*J17*0.5/100)*0.6)*0.5</f>
        <v>6264.66</v>
      </c>
      <c r="X17" s="183">
        <f>((O17*X6*K17*0.5/100)*0.6)*0.5</f>
        <v>7590.179999999999</v>
      </c>
      <c r="Y17" s="183">
        <f>((O17*Y6*L17*0.5/100)*0.6)*0.5</f>
        <v>8663.22</v>
      </c>
      <c r="Z17" s="184">
        <f>((O17*Z6*M17*0.5/100)*0.6)*0.5</f>
        <v>10343.79</v>
      </c>
      <c r="AA17" s="162"/>
    </row>
    <row r="18" spans="1:27" ht="12.75" customHeight="1">
      <c r="A18" s="162"/>
      <c r="B18" s="169">
        <v>1500</v>
      </c>
      <c r="C18" s="170">
        <v>2.82</v>
      </c>
      <c r="D18" s="171">
        <v>3.34</v>
      </c>
      <c r="E18" s="171">
        <v>3.85</v>
      </c>
      <c r="F18" s="171">
        <v>3.85</v>
      </c>
      <c r="G18" s="171">
        <v>4.37</v>
      </c>
      <c r="H18" s="171">
        <v>4.37</v>
      </c>
      <c r="I18" s="171">
        <v>4.37</v>
      </c>
      <c r="J18" s="171">
        <v>4.88</v>
      </c>
      <c r="K18" s="171">
        <v>4.88</v>
      </c>
      <c r="L18" s="171">
        <v>4.88</v>
      </c>
      <c r="M18" s="172">
        <v>4.88</v>
      </c>
      <c r="O18" s="181">
        <v>1500</v>
      </c>
      <c r="P18" s="182">
        <f>((O18*P6*C18*0.5/100)*0.6)*0.5</f>
        <v>666.225</v>
      </c>
      <c r="Q18" s="183">
        <f>((O18*Q6*D18*0.5/100)*0.6)*0.5</f>
        <v>1728.45</v>
      </c>
      <c r="R18" s="183">
        <f>((O18*R6*E18*0.5/100)*0.6)*0.5</f>
        <v>3248.4375</v>
      </c>
      <c r="S18" s="183">
        <f>((O18*S6*F18*0.5/100)*0.6)*0.5</f>
        <v>3698.8875</v>
      </c>
      <c r="T18" s="183">
        <f>((O18*T6*G18*0.5/100)*0.6)*0.5</f>
        <v>4739.264999999999</v>
      </c>
      <c r="U18" s="183">
        <f>((O18*U6*H18*0.5/100)*0.6)*0.5</f>
        <v>5240.7225</v>
      </c>
      <c r="V18" s="183">
        <f>((O18*V6*I18*0.5/100)*0.6)*0.5</f>
        <v>6292.8</v>
      </c>
      <c r="W18" s="183">
        <f>((O18*W6*J18*0.5/100)*0.6)*0.5</f>
        <v>8718.12</v>
      </c>
      <c r="X18" s="183">
        <f>((O18*X6*K18*0.5/100)*0.6)*0.5</f>
        <v>10562.759999999998</v>
      </c>
      <c r="Y18" s="183">
        <f>((O18*Y6*L18*0.5/100)*0.6)*0.5</f>
        <v>12056.04</v>
      </c>
      <c r="Z18" s="184">
        <f>((O18*Z6*M18*0.5/100)*0.6)*0.5</f>
        <v>14394.779999999999</v>
      </c>
      <c r="AA18" s="162"/>
    </row>
    <row r="19" spans="1:27" ht="12.75" customHeight="1">
      <c r="A19" s="162"/>
      <c r="B19" s="169">
        <v>2000</v>
      </c>
      <c r="C19" s="170">
        <v>2.62</v>
      </c>
      <c r="D19" s="171">
        <v>3.09</v>
      </c>
      <c r="E19" s="171">
        <v>3.56</v>
      </c>
      <c r="F19" s="171">
        <v>3.56</v>
      </c>
      <c r="G19" s="171">
        <v>4.04</v>
      </c>
      <c r="H19" s="171">
        <v>4.04</v>
      </c>
      <c r="I19" s="171">
        <v>4.04</v>
      </c>
      <c r="J19" s="171">
        <v>4.5</v>
      </c>
      <c r="K19" s="171">
        <v>4.5</v>
      </c>
      <c r="L19" s="171">
        <v>4.5</v>
      </c>
      <c r="M19" s="172">
        <v>4.5</v>
      </c>
      <c r="O19" s="181">
        <v>2000</v>
      </c>
      <c r="P19" s="182">
        <f>((O19*P6*C19*0.5/100)*0.6)*0.5</f>
        <v>825.3</v>
      </c>
      <c r="Q19" s="183">
        <f>((O19*Q6*D19*0.5/100)*0.6)*0.5</f>
        <v>2132.1</v>
      </c>
      <c r="R19" s="183">
        <f>((O19*R6*E19*0.5/100)*0.6)*0.5</f>
        <v>4005</v>
      </c>
      <c r="S19" s="183">
        <f>((O19*S6*F19*0.5/100)*0.6)*0.5</f>
        <v>4560.36</v>
      </c>
      <c r="T19" s="183">
        <f>((O19*T6*G19*0.5/100)*0.6)*0.5</f>
        <v>5841.839999999999</v>
      </c>
      <c r="U19" s="183">
        <f>((O19*U6*H19*0.5/100)*0.6)*0.5</f>
        <v>6459.96</v>
      </c>
      <c r="V19" s="183">
        <f>((O19*V6*I19*0.5/100)*0.6)*0.5</f>
        <v>7756.799999999999</v>
      </c>
      <c r="W19" s="183">
        <f>((O19*W6*J19*0.5/100)*0.6)*0.5</f>
        <v>10719</v>
      </c>
      <c r="X19" s="183">
        <f>((O19*X6*K19*0.5/100)*0.6)*0.5</f>
        <v>12987</v>
      </c>
      <c r="Y19" s="183">
        <f>((O19*Y6*L19*0.5/100)*0.6)*0.5</f>
        <v>14823</v>
      </c>
      <c r="Z19" s="184">
        <f>((O19*Z6*M19*0.5/100)*0.6)*0.5</f>
        <v>17698.5</v>
      </c>
      <c r="AA19" s="162"/>
    </row>
    <row r="20" spans="1:27" ht="12.75" customHeight="1">
      <c r="A20" s="162"/>
      <c r="B20" s="169">
        <v>2500</v>
      </c>
      <c r="C20" s="170">
        <v>2.42</v>
      </c>
      <c r="D20" s="171">
        <v>2.84</v>
      </c>
      <c r="E20" s="171">
        <v>3.27</v>
      </c>
      <c r="F20" s="171">
        <v>3.27</v>
      </c>
      <c r="G20" s="171">
        <v>3.7</v>
      </c>
      <c r="H20" s="171">
        <v>3.7</v>
      </c>
      <c r="I20" s="171">
        <v>3.7</v>
      </c>
      <c r="J20" s="171">
        <v>4.12</v>
      </c>
      <c r="K20" s="171">
        <v>4.12</v>
      </c>
      <c r="L20" s="171">
        <v>4.12</v>
      </c>
      <c r="M20" s="172">
        <v>4.12</v>
      </c>
      <c r="O20" s="181">
        <v>2500</v>
      </c>
      <c r="P20" s="182">
        <f>((O20*P6*C20*0.5/100)*0.6)*0.5</f>
        <v>952.875</v>
      </c>
      <c r="Q20" s="183">
        <f>((O20*Q6*D20*0.5/100)*0.6)*0.5</f>
        <v>2449.5</v>
      </c>
      <c r="R20" s="183">
        <f>((O20*R6*E20*0.5/100)*0.6)*0.5</f>
        <v>4598.4375</v>
      </c>
      <c r="S20" s="183">
        <f>((O20*S6*F20*0.5/100)*0.6)*0.5</f>
        <v>5236.0875</v>
      </c>
      <c r="T20" s="183">
        <f>((O20*T6*G20*0.5/100)*0.6)*0.5</f>
        <v>6687.75</v>
      </c>
      <c r="U20" s="183">
        <f>((O20*U6*H20*0.5/100)*0.6)*0.5</f>
        <v>7395.375</v>
      </c>
      <c r="V20" s="183">
        <f>((O20*V6*I20*0.5/100)*0.6)*0.5</f>
        <v>8880</v>
      </c>
      <c r="W20" s="183">
        <f>((O20*W6*J20*0.5/100)*0.6)*0.5</f>
        <v>12267.3</v>
      </c>
      <c r="X20" s="183">
        <f>((O20*X6*K20*0.5/100)*0.6)*0.5</f>
        <v>14862.9</v>
      </c>
      <c r="Y20" s="183">
        <f>((O20*Y6*L20*0.5/100)*0.6)*0.5</f>
        <v>16964.1</v>
      </c>
      <c r="Z20" s="184">
        <f>((O20*Z6*M20*0.5/100)*0.6)*0.5</f>
        <v>20254.95</v>
      </c>
      <c r="AA20" s="162"/>
    </row>
    <row r="21" spans="1:27" ht="12.75" customHeight="1">
      <c r="A21" s="162"/>
      <c r="B21" s="169">
        <v>3000</v>
      </c>
      <c r="C21" s="170">
        <v>2.33</v>
      </c>
      <c r="D21" s="171">
        <v>2.74</v>
      </c>
      <c r="E21" s="171">
        <v>3.14</v>
      </c>
      <c r="F21" s="171">
        <v>3.14</v>
      </c>
      <c r="G21" s="171">
        <v>3.55</v>
      </c>
      <c r="H21" s="171">
        <v>3.55</v>
      </c>
      <c r="I21" s="171">
        <v>3.55</v>
      </c>
      <c r="J21" s="171">
        <v>3.95</v>
      </c>
      <c r="K21" s="171">
        <v>3.95</v>
      </c>
      <c r="L21" s="171">
        <v>3.95</v>
      </c>
      <c r="M21" s="172">
        <v>3.95</v>
      </c>
      <c r="O21" s="181">
        <v>3000</v>
      </c>
      <c r="P21" s="182">
        <f>((O21*P6*C21*0.5/100)*0.6)*0.5</f>
        <v>1100.925</v>
      </c>
      <c r="Q21" s="183">
        <f>((O21*Q6*D21*0.5/100)*0.6)*0.5</f>
        <v>2835.9000000000005</v>
      </c>
      <c r="R21" s="183">
        <f>((O21*R6*E21*0.5/100)*0.6)*0.5</f>
        <v>5298.75</v>
      </c>
      <c r="S21" s="183">
        <f>((O21*S6*F21*0.5/100)*0.6)*0.5</f>
        <v>6033.51</v>
      </c>
      <c r="T21" s="183">
        <f>((O21*T6*G21*0.5/100)*0.6)*0.5</f>
        <v>7699.95</v>
      </c>
      <c r="U21" s="183">
        <f>((O21*U6*H21*0.5/100)*0.6)*0.5</f>
        <v>8514.675</v>
      </c>
      <c r="V21" s="183">
        <f>((O21*V6*I21*0.5/100)*0.6)*0.5</f>
        <v>10224</v>
      </c>
      <c r="W21" s="183">
        <f>((O21*W6*J21*0.5/100)*0.6)*0.5</f>
        <v>14113.35</v>
      </c>
      <c r="X21" s="183">
        <f>((O21*X6*K21*0.5/100)*0.6)*0.5</f>
        <v>17099.55</v>
      </c>
      <c r="Y21" s="183">
        <f>((O21*Y6*L21*0.5/100)*0.6)*0.5</f>
        <v>19516.95</v>
      </c>
      <c r="Z21" s="184">
        <f>((O21*Z6*M21*0.5/100)*0.6)*0.5</f>
        <v>23303.024999999998</v>
      </c>
      <c r="AA21" s="162"/>
    </row>
    <row r="22" spans="1:27" ht="12.75" customHeight="1">
      <c r="A22" s="162"/>
      <c r="B22" s="169">
        <v>3500</v>
      </c>
      <c r="C22" s="170">
        <v>2.25</v>
      </c>
      <c r="D22" s="171">
        <v>2.63</v>
      </c>
      <c r="E22" s="171">
        <v>3.01</v>
      </c>
      <c r="F22" s="171">
        <v>3.01</v>
      </c>
      <c r="G22" s="171">
        <v>3.4</v>
      </c>
      <c r="H22" s="171">
        <v>3.4</v>
      </c>
      <c r="I22" s="171">
        <v>3.4</v>
      </c>
      <c r="J22" s="171">
        <v>3.77</v>
      </c>
      <c r="K22" s="171">
        <v>3.77</v>
      </c>
      <c r="L22" s="171">
        <v>3.77</v>
      </c>
      <c r="M22" s="172">
        <v>3.77</v>
      </c>
      <c r="O22" s="181">
        <v>3500</v>
      </c>
      <c r="P22" s="182">
        <f>((O22*P6*C22*0.5/100)*0.6)*0.5</f>
        <v>1240.3125</v>
      </c>
      <c r="Q22" s="183">
        <f>((O22*Q6*D22*0.5/100)*0.6)*0.5</f>
        <v>3175.725</v>
      </c>
      <c r="R22" s="183">
        <f>((O22*R6*E22*0.5/100)*0.6)*0.5</f>
        <v>5925.937499999999</v>
      </c>
      <c r="S22" s="183">
        <f>((O22*S6*F22*0.5/100)*0.6)*0.5</f>
        <v>6747.6675</v>
      </c>
      <c r="T22" s="183">
        <f>((O22*T6*G22*0.5/100)*0.6)*0.5</f>
        <v>8603.699999999999</v>
      </c>
      <c r="U22" s="183">
        <f>((O22*U6*H22*0.5/100)*0.6)*0.5</f>
        <v>9514.05</v>
      </c>
      <c r="V22" s="183">
        <f>((O22*V6*I22*0.5/100)*0.6)*0.5</f>
        <v>11424</v>
      </c>
      <c r="W22" s="183">
        <f>((O22*W6*J22*0.5/100)*0.6)*0.5</f>
        <v>15715.244999999999</v>
      </c>
      <c r="X22" s="183">
        <f>((O22*X6*K22*0.5/100)*0.6)*0.5</f>
        <v>19040.385</v>
      </c>
      <c r="Y22" s="183">
        <f>((O22*Y6*L22*0.5/100)*0.6)*0.5</f>
        <v>21732.165</v>
      </c>
      <c r="Z22" s="184">
        <f>((O22*Z6*M22*0.5/100)*0.6)*0.5</f>
        <v>25947.967500000002</v>
      </c>
      <c r="AA22" s="162"/>
    </row>
    <row r="23" spans="1:27" ht="12.75" customHeight="1">
      <c r="A23" s="162"/>
      <c r="B23" s="169">
        <v>4000</v>
      </c>
      <c r="C23" s="170">
        <v>2.16</v>
      </c>
      <c r="D23" s="171">
        <v>2.53</v>
      </c>
      <c r="E23" s="171">
        <v>2.88</v>
      </c>
      <c r="F23" s="171">
        <v>2.88</v>
      </c>
      <c r="G23" s="171">
        <v>3.24</v>
      </c>
      <c r="H23" s="171">
        <v>3.24</v>
      </c>
      <c r="I23" s="171">
        <v>3.24</v>
      </c>
      <c r="J23" s="171">
        <v>3.6</v>
      </c>
      <c r="K23" s="171">
        <v>3.6</v>
      </c>
      <c r="L23" s="171">
        <v>3.6</v>
      </c>
      <c r="M23" s="172">
        <v>3.6</v>
      </c>
      <c r="O23" s="181">
        <v>4000</v>
      </c>
      <c r="P23" s="182">
        <f>((O23*P6*C23*0.5/100)*0.6)*0.5</f>
        <v>1360.8000000000002</v>
      </c>
      <c r="Q23" s="183">
        <f>((O23*Q6*D23*0.5/100)*0.6)*0.5</f>
        <v>3491.4</v>
      </c>
      <c r="R23" s="183">
        <f>((O23*R6*E23*0.5/100)*0.6)*0.5</f>
        <v>6480</v>
      </c>
      <c r="S23" s="183">
        <f>((O23*S6*F23*0.5/100)*0.6)*0.5</f>
        <v>7378.5599999999995</v>
      </c>
      <c r="T23" s="183">
        <f>((O23*T6*G23*0.5/100)*0.6)*0.5</f>
        <v>9370.08</v>
      </c>
      <c r="U23" s="183">
        <f>((O23*U6*H23*0.5/100)*0.6)*0.5</f>
        <v>10361.52</v>
      </c>
      <c r="V23" s="183">
        <f>((O23*V6*I23*0.5/100)*0.6)*0.5</f>
        <v>12441.600000000002</v>
      </c>
      <c r="W23" s="183">
        <f>((O23*W6*J23*0.5/100)*0.6)*0.5</f>
        <v>17150.399999999998</v>
      </c>
      <c r="X23" s="183">
        <f>((O23*X6*K23*0.5/100)*0.6)*0.5</f>
        <v>20779.2</v>
      </c>
      <c r="Y23" s="183">
        <f>((O23*Y6*L23*0.5/100)*0.6)*0.5</f>
        <v>23716.8</v>
      </c>
      <c r="Z23" s="184">
        <f>((O23*Z6*M23*0.5/100)*0.6)*0.5</f>
        <v>28317.6</v>
      </c>
      <c r="AA23" s="162"/>
    </row>
    <row r="24" spans="1:27" ht="12.75" customHeight="1">
      <c r="A24" s="162"/>
      <c r="B24" s="169">
        <v>4500</v>
      </c>
      <c r="C24" s="170">
        <v>2.09</v>
      </c>
      <c r="D24" s="171">
        <v>2.42</v>
      </c>
      <c r="E24" s="171">
        <v>2.75</v>
      </c>
      <c r="F24" s="171">
        <v>2.75</v>
      </c>
      <c r="G24" s="171">
        <v>3.09</v>
      </c>
      <c r="H24" s="171">
        <v>3.09</v>
      </c>
      <c r="I24" s="171">
        <v>3.09</v>
      </c>
      <c r="J24" s="171">
        <v>3.42</v>
      </c>
      <c r="K24" s="171">
        <v>3.42</v>
      </c>
      <c r="L24" s="171">
        <v>3.42</v>
      </c>
      <c r="M24" s="172">
        <v>3.42</v>
      </c>
      <c r="O24" s="181">
        <v>4500</v>
      </c>
      <c r="P24" s="182">
        <f>((O24*P6*C24*0.5/100)*0.6)*0.5</f>
        <v>1481.2874999999997</v>
      </c>
      <c r="Q24" s="183">
        <f>((O24*Q6*D24*0.5/100)*0.6)*0.5</f>
        <v>3757.0499999999997</v>
      </c>
      <c r="R24" s="183">
        <f>((O24*R6*E24*0.5/100)*0.6)*0.5</f>
        <v>6960.9375</v>
      </c>
      <c r="S24" s="183">
        <f>((O24*S6*F24*0.5/100)*0.6)*0.5</f>
        <v>7926.1875</v>
      </c>
      <c r="T24" s="183">
        <f>((O24*T6*G24*0.5/100)*0.6)*0.5</f>
        <v>10053.315</v>
      </c>
      <c r="U24" s="183">
        <f>((O24*U6*H24*0.5/100)*0.6)*0.5</f>
        <v>11117.047499999999</v>
      </c>
      <c r="V24" s="183">
        <f>((O24*V6*I24*0.5/100)*0.6)*0.5</f>
        <v>13348.8</v>
      </c>
      <c r="W24" s="183">
        <f>((O24*W6*J24*0.5/100)*0.6)*0.5</f>
        <v>18329.49</v>
      </c>
      <c r="X24" s="183">
        <f>((O24*X6*K24*0.5/100)*0.6)*0.5</f>
        <v>22207.769999999997</v>
      </c>
      <c r="Y24" s="183">
        <f>((O24*Y6*L24*0.5/100)*0.6)*0.5</f>
        <v>25347.33</v>
      </c>
      <c r="Z24" s="184">
        <f>((O24*Z6*M24*0.5/100)*0.6)*0.5</f>
        <v>30264.434999999998</v>
      </c>
      <c r="AA24" s="162"/>
    </row>
    <row r="25" spans="1:27" ht="12.75" customHeight="1">
      <c r="A25" s="162"/>
      <c r="B25" s="169">
        <v>5000</v>
      </c>
      <c r="C25" s="170">
        <v>2</v>
      </c>
      <c r="D25" s="171">
        <v>2.31</v>
      </c>
      <c r="E25" s="171">
        <v>2.62</v>
      </c>
      <c r="F25" s="171">
        <v>2.62</v>
      </c>
      <c r="G25" s="171">
        <v>2.93</v>
      </c>
      <c r="H25" s="171">
        <v>2.93</v>
      </c>
      <c r="I25" s="171">
        <v>2.93</v>
      </c>
      <c r="J25" s="171">
        <v>3.24</v>
      </c>
      <c r="K25" s="171">
        <v>3.24</v>
      </c>
      <c r="L25" s="171">
        <v>3.24</v>
      </c>
      <c r="M25" s="172">
        <v>3.24</v>
      </c>
      <c r="O25" s="181">
        <v>5000</v>
      </c>
      <c r="P25" s="182">
        <f>((O25*P6*C25*0.5/100)*0.6)*0.5</f>
        <v>1575</v>
      </c>
      <c r="Q25" s="183">
        <f>((O25*Q6*D25*0.5/100)*0.6)*0.5</f>
        <v>3984.75</v>
      </c>
      <c r="R25" s="183">
        <f>((O25*R6*E25*0.5/100)*0.6)*0.5</f>
        <v>7368.75</v>
      </c>
      <c r="S25" s="183">
        <f>((O25*S6*F25*0.5/100)*0.6)*0.5</f>
        <v>8390.55</v>
      </c>
      <c r="T25" s="183">
        <f>((O25*T6*G25*0.5/100)*0.6)*0.5</f>
        <v>10591.949999999999</v>
      </c>
      <c r="U25" s="183">
        <f>((O25*U6*H25*0.5/100)*0.6)*0.5</f>
        <v>11712.675</v>
      </c>
      <c r="V25" s="183">
        <f>((O25*V6*I25*0.5/100)*0.6)*0.5</f>
        <v>14064</v>
      </c>
      <c r="W25" s="183">
        <f>((O25*W6*J25*0.5/100)*0.6)*0.5</f>
        <v>19294.2</v>
      </c>
      <c r="X25" s="183">
        <f>((O25*X6*K25*0.5/100)*0.6)*0.5</f>
        <v>23376.600000000002</v>
      </c>
      <c r="Y25" s="183">
        <f>((O25*Y6*L25*0.5/100)*0.6)*0.5</f>
        <v>26681.399999999998</v>
      </c>
      <c r="Z25" s="184">
        <f>((O25*Z6*M25*0.5/100)*0.6)*0.5</f>
        <v>31857.3</v>
      </c>
      <c r="AA25" s="162"/>
    </row>
    <row r="26" spans="1:27" ht="12.75" customHeight="1">
      <c r="A26" s="162"/>
      <c r="B26" s="169">
        <v>6000</v>
      </c>
      <c r="C26" s="170">
        <v>1.92</v>
      </c>
      <c r="D26" s="171">
        <v>2.21</v>
      </c>
      <c r="E26" s="171">
        <v>2.5</v>
      </c>
      <c r="F26" s="171">
        <v>2.5</v>
      </c>
      <c r="G26" s="171">
        <v>2.79</v>
      </c>
      <c r="H26" s="171">
        <v>2.79</v>
      </c>
      <c r="I26" s="171">
        <v>2.79</v>
      </c>
      <c r="J26" s="171">
        <v>3.08</v>
      </c>
      <c r="K26" s="171">
        <v>3.08</v>
      </c>
      <c r="L26" s="171">
        <v>3.08</v>
      </c>
      <c r="M26" s="172">
        <v>3.08</v>
      </c>
      <c r="O26" s="181">
        <v>6000</v>
      </c>
      <c r="P26" s="182">
        <f>((O26*P6*C26*0.5/100)*0.6)*0.5</f>
        <v>1814.3999999999999</v>
      </c>
      <c r="Q26" s="183">
        <f>((O26*Q6*D26*0.5/100)*0.6)*0.5</f>
        <v>4574.7</v>
      </c>
      <c r="R26" s="183">
        <f>((O26*R6*E26*0.5/100)*0.6)*0.5</f>
        <v>8437.5</v>
      </c>
      <c r="S26" s="183">
        <f>((O26*S6*F26*0.5/100)*0.6)*0.5</f>
        <v>9607.5</v>
      </c>
      <c r="T26" s="183">
        <f>((O26*T6*G26*0.5/100)*0.6)*0.5</f>
        <v>12103.02</v>
      </c>
      <c r="U26" s="183">
        <f>((O26*U6*H26*0.5/100)*0.6)*0.5</f>
        <v>13383.63</v>
      </c>
      <c r="V26" s="183">
        <f>((O26*V6*I26*0.5/100)*0.6)*0.5</f>
        <v>16070.4</v>
      </c>
      <c r="W26" s="183">
        <f>((O26*W6*J26*0.5/100)*0.6)*0.5</f>
        <v>22009.68</v>
      </c>
      <c r="X26" s="183">
        <f>((O26*X6*K26*0.5/100)*0.6)*0.5</f>
        <v>26666.64</v>
      </c>
      <c r="Y26" s="183">
        <f>((O26*Y6*L26*0.5/100)*0.6)*0.5</f>
        <v>30436.559999999998</v>
      </c>
      <c r="Z26" s="184">
        <f>((O26*Z6*M26*0.5/100)*0.6)*0.5</f>
        <v>36340.92</v>
      </c>
      <c r="AA26" s="162"/>
    </row>
    <row r="27" spans="1:27" ht="12.75" customHeight="1">
      <c r="A27" s="162"/>
      <c r="B27" s="169">
        <v>7000</v>
      </c>
      <c r="C27" s="170">
        <v>1.84</v>
      </c>
      <c r="D27" s="171">
        <v>2.11</v>
      </c>
      <c r="E27" s="171">
        <v>2.38</v>
      </c>
      <c r="F27" s="171">
        <v>2.38</v>
      </c>
      <c r="G27" s="171">
        <v>2.66</v>
      </c>
      <c r="H27" s="171">
        <v>2.66</v>
      </c>
      <c r="I27" s="171">
        <v>2.66</v>
      </c>
      <c r="J27" s="171">
        <v>2.92</v>
      </c>
      <c r="K27" s="171">
        <v>2.92</v>
      </c>
      <c r="L27" s="171">
        <v>2.92</v>
      </c>
      <c r="M27" s="172">
        <v>2.92</v>
      </c>
      <c r="O27" s="181">
        <v>7000</v>
      </c>
      <c r="P27" s="182">
        <f>((O27*P6*C27*0.5/100)*0.6)*0.5</f>
        <v>2028.6</v>
      </c>
      <c r="Q27" s="183">
        <f>((O27*Q6*D27*0.5/100)*0.6)*0.5</f>
        <v>5095.65</v>
      </c>
      <c r="R27" s="183">
        <f>((O27*R6*E27*0.5/100)*0.6)*0.5</f>
        <v>9371.25</v>
      </c>
      <c r="S27" s="183">
        <f>((O27*S6*F27*0.5/100)*0.6)*0.5</f>
        <v>10670.73</v>
      </c>
      <c r="T27" s="183">
        <f>((O27*T6*G27*0.5/100)*0.6)*0.5</f>
        <v>13462.259999999998</v>
      </c>
      <c r="U27" s="183">
        <f>((O27*U6*H27*0.5/100)*0.6)*0.5</f>
        <v>14886.69</v>
      </c>
      <c r="V27" s="183">
        <f>((O27*V6*I27*0.5/100)*0.6)*0.5</f>
        <v>17875.2</v>
      </c>
      <c r="W27" s="183">
        <f>((O27*W6*J27*0.5/100)*0.6)*0.5</f>
        <v>24344.04</v>
      </c>
      <c r="X27" s="183">
        <f>((O27*X6*K27*0.5/100)*0.6)*0.5</f>
        <v>29494.92</v>
      </c>
      <c r="Y27" s="183">
        <f>((O27*Y6*L27*0.5/100)*0.6)*0.5</f>
        <v>33664.68</v>
      </c>
      <c r="Z27" s="184">
        <f>((O27*Z6*M27*0.5/100)*0.6)*0.5</f>
        <v>40195.26</v>
      </c>
      <c r="AA27" s="162"/>
    </row>
    <row r="28" spans="1:27" ht="12.75" customHeight="1">
      <c r="A28" s="162"/>
      <c r="B28" s="169">
        <v>8000</v>
      </c>
      <c r="C28" s="170">
        <v>1.77</v>
      </c>
      <c r="D28" s="171">
        <v>2.03</v>
      </c>
      <c r="E28" s="171">
        <v>2.28</v>
      </c>
      <c r="F28" s="171">
        <v>2.28</v>
      </c>
      <c r="G28" s="171">
        <v>2.54</v>
      </c>
      <c r="H28" s="171">
        <v>2.54</v>
      </c>
      <c r="I28" s="171">
        <v>2.54</v>
      </c>
      <c r="J28" s="171">
        <v>2.79</v>
      </c>
      <c r="K28" s="171">
        <v>2.79</v>
      </c>
      <c r="L28" s="171">
        <v>2.79</v>
      </c>
      <c r="M28" s="172">
        <v>2.79</v>
      </c>
      <c r="O28" s="181">
        <v>8000</v>
      </c>
      <c r="P28" s="182">
        <f>((O28*P6*C28*0.5/100)*0.6)*0.5</f>
        <v>2230.2</v>
      </c>
      <c r="Q28" s="183">
        <f>((O28*Q6*D28*0.5/100)*0.6)*0.5</f>
        <v>5602.799999999998</v>
      </c>
      <c r="R28" s="183">
        <f>((O28*R6*E28*0.5/100)*0.6)*0.5</f>
        <v>10259.999999999998</v>
      </c>
      <c r="S28" s="183">
        <f>((O28*S6*F28*0.5/100)*0.6)*0.5</f>
        <v>11682.719999999998</v>
      </c>
      <c r="T28" s="183">
        <f>((O28*T6*G28*0.5/100)*0.6)*0.5</f>
        <v>14691.359999999999</v>
      </c>
      <c r="U28" s="183">
        <f>((O28*U6*H28*0.5/100)*0.6)*0.5</f>
        <v>16245.84</v>
      </c>
      <c r="V28" s="183">
        <f>((O28*V6*I28*0.5/100)*0.6)*0.5</f>
        <v>19507.2</v>
      </c>
      <c r="W28" s="183">
        <f>((O28*W6*J28*0.5/100)*0.6)*0.5</f>
        <v>26583.12</v>
      </c>
      <c r="X28" s="183">
        <f>((O28*X6*K28*0.5/100)*0.6)*0.5</f>
        <v>32207.76</v>
      </c>
      <c r="Y28" s="183">
        <f>((O28*Y6*L28*0.5/100)*0.6)*0.5</f>
        <v>36761.04</v>
      </c>
      <c r="Z28" s="184">
        <f>((O28*Z6*M28*0.5/100)*0.6)*0.5</f>
        <v>43892.28</v>
      </c>
      <c r="AA28" s="162"/>
    </row>
    <row r="29" spans="1:27" ht="12.75" customHeight="1">
      <c r="A29" s="162"/>
      <c r="B29" s="169">
        <v>9000</v>
      </c>
      <c r="C29" s="170">
        <v>1.73</v>
      </c>
      <c r="D29" s="171">
        <v>1.97</v>
      </c>
      <c r="E29" s="171">
        <v>2.21</v>
      </c>
      <c r="F29" s="171">
        <v>2.21</v>
      </c>
      <c r="G29" s="171">
        <v>2.46</v>
      </c>
      <c r="H29" s="171">
        <v>2.46</v>
      </c>
      <c r="I29" s="171">
        <v>2.46</v>
      </c>
      <c r="J29" s="171">
        <v>2.7</v>
      </c>
      <c r="K29" s="171">
        <v>2.7</v>
      </c>
      <c r="L29" s="171">
        <v>2.7</v>
      </c>
      <c r="M29" s="172">
        <v>2.7</v>
      </c>
      <c r="O29" s="181">
        <v>9000</v>
      </c>
      <c r="P29" s="182">
        <f>((O29*P6*C29*0.5/100)*0.6)*0.5</f>
        <v>2452.275</v>
      </c>
      <c r="Q29" s="183">
        <f>((O29*Q6*D29*0.5/100)*0.6)*0.5</f>
        <v>6116.849999999999</v>
      </c>
      <c r="R29" s="183">
        <f>((O29*R6*E29*0.5/100)*0.6)*0.5</f>
        <v>11188.125</v>
      </c>
      <c r="S29" s="183">
        <f>((O29*S6*F29*0.5/100)*0.6)*0.5</f>
        <v>12739.545</v>
      </c>
      <c r="T29" s="183">
        <f>((O29*T6*G29*0.5/100)*0.6)*0.5</f>
        <v>16007.22</v>
      </c>
      <c r="U29" s="183">
        <f>((O29*U6*H29*0.5/100)*0.6)*0.5</f>
        <v>17700.93</v>
      </c>
      <c r="V29" s="183">
        <f>((O29*V6*I29*0.5/100)*0.6)*0.5</f>
        <v>21254.399999999998</v>
      </c>
      <c r="W29" s="183">
        <f>((O29*W6*J29*0.5/100)*0.6)*0.5</f>
        <v>28941.3</v>
      </c>
      <c r="X29" s="183">
        <f>((O29*X6*K29*0.5/100)*0.6)*0.5</f>
        <v>35064.9</v>
      </c>
      <c r="Y29" s="183">
        <f>((O29*Y6*L29*0.5/100)*0.6)*0.5</f>
        <v>40022.1</v>
      </c>
      <c r="Z29" s="184">
        <f>((O29*Z6*M29*0.5/100)*0.6)*0.5</f>
        <v>47785.950000000004</v>
      </c>
      <c r="AA29" s="162"/>
    </row>
    <row r="30" spans="1:27" ht="12.75" customHeight="1">
      <c r="A30" s="162"/>
      <c r="B30" s="169">
        <v>10000</v>
      </c>
      <c r="C30" s="170">
        <v>1.69</v>
      </c>
      <c r="D30" s="171">
        <v>1.91</v>
      </c>
      <c r="E30" s="171">
        <v>2.15</v>
      </c>
      <c r="F30" s="171">
        <v>2.15</v>
      </c>
      <c r="G30" s="171">
        <v>2.33</v>
      </c>
      <c r="H30" s="171">
        <v>2.33</v>
      </c>
      <c r="I30" s="171">
        <v>2.33</v>
      </c>
      <c r="J30" s="171">
        <v>2.61</v>
      </c>
      <c r="K30" s="171">
        <v>2.61</v>
      </c>
      <c r="L30" s="171">
        <v>2.61</v>
      </c>
      <c r="M30" s="172">
        <v>2.61</v>
      </c>
      <c r="O30" s="181">
        <v>10000</v>
      </c>
      <c r="P30" s="182">
        <f>((O30*P6*C30*0.5/100)*0.6)*0.5</f>
        <v>2661.75</v>
      </c>
      <c r="Q30" s="183">
        <f>((O30*Q6*D30*0.5/100)*0.6)*0.5</f>
        <v>6589.5</v>
      </c>
      <c r="R30" s="183">
        <f>((O30*R6*E30*0.5/100)*0.6)*0.5</f>
        <v>12093.75</v>
      </c>
      <c r="S30" s="183">
        <f>((O30*S6*F30*0.5/100)*0.6)*0.5</f>
        <v>13770.75</v>
      </c>
      <c r="T30" s="183">
        <f>((O30*T6*G30*0.5/100)*0.6)*0.5</f>
        <v>16845.899999999998</v>
      </c>
      <c r="U30" s="183">
        <f>((O30*U6*H30*0.5/100)*0.6)*0.5</f>
        <v>18628.35</v>
      </c>
      <c r="V30" s="183">
        <f>((O30*V6*I30*0.5/100)*0.6)*0.5</f>
        <v>22368</v>
      </c>
      <c r="W30" s="183">
        <f>((O30*W6*J30*0.5/100)*0.6)*0.5</f>
        <v>31085.1</v>
      </c>
      <c r="X30" s="183">
        <f>((O30*X6*K30*0.5/100)*0.6)*0.5</f>
        <v>37662.299999999996</v>
      </c>
      <c r="Y30" s="183">
        <f>((O30*Y6*L30*0.5/100)*0.6)*0.5</f>
        <v>42986.7</v>
      </c>
      <c r="Z30" s="184">
        <f>((O30*Z6*M30*0.5/100)*0.6)*0.5</f>
        <v>51325.65</v>
      </c>
      <c r="AA30" s="162"/>
    </row>
    <row r="31" spans="1:27" ht="12.75" customHeight="1">
      <c r="A31" s="162"/>
      <c r="B31" s="169">
        <v>12500</v>
      </c>
      <c r="C31" s="170">
        <v>1.57</v>
      </c>
      <c r="D31" s="171">
        <v>1.79</v>
      </c>
      <c r="E31" s="171">
        <v>2</v>
      </c>
      <c r="F31" s="171">
        <v>2</v>
      </c>
      <c r="G31" s="171">
        <v>2.21</v>
      </c>
      <c r="H31" s="171">
        <v>2.21</v>
      </c>
      <c r="I31" s="171">
        <v>2.21</v>
      </c>
      <c r="J31" s="171">
        <v>2.42</v>
      </c>
      <c r="K31" s="171">
        <v>2.42</v>
      </c>
      <c r="L31" s="171">
        <v>2.42</v>
      </c>
      <c r="M31" s="172">
        <v>2.42</v>
      </c>
      <c r="O31" s="181">
        <v>12500</v>
      </c>
      <c r="P31" s="182">
        <f>((O31*P6*C31*0.5/100)*0.6)*0.5</f>
        <v>3090.9375</v>
      </c>
      <c r="Q31" s="183">
        <f>((O31*Q6*D31*0.5/100)*0.6)*0.5</f>
        <v>7719.375</v>
      </c>
      <c r="R31" s="183">
        <f>((O31*R6*E31*0.5/100)*0.6)*0.5</f>
        <v>14062.5</v>
      </c>
      <c r="S31" s="183">
        <f>((O31*S6*F31*0.5/100)*0.6)*0.5</f>
        <v>16012.5</v>
      </c>
      <c r="T31" s="183">
        <f>((O31*T6*G31*0.5/100)*0.6)*0.5</f>
        <v>19972.875</v>
      </c>
      <c r="U31" s="183">
        <f>((O31*U6*H31*0.5/100)*0.6)*0.5</f>
        <v>22086.1875</v>
      </c>
      <c r="V31" s="183">
        <f>((O31*V6*I31*0.5/100)*0.6)*0.5</f>
        <v>26520</v>
      </c>
      <c r="W31" s="183">
        <f>((O31*W6*J31*0.5/100)*0.6)*0.5</f>
        <v>36027.75</v>
      </c>
      <c r="X31" s="183">
        <f>((O31*X6*K31*0.5/100)*0.6)*0.5</f>
        <v>43650.75</v>
      </c>
      <c r="Y31" s="183">
        <f>((O31*Y6*L31*0.5/100)*0.6)*0.5</f>
        <v>49821.75</v>
      </c>
      <c r="Z31" s="184">
        <f>((O31*Z6*M31*0.5/100)*0.6)*0.5</f>
        <v>59486.625</v>
      </c>
      <c r="AA31" s="162"/>
    </row>
    <row r="32" spans="1:27" ht="12.75" customHeight="1">
      <c r="A32" s="162"/>
      <c r="B32" s="169">
        <v>15000</v>
      </c>
      <c r="C32" s="170">
        <v>1.49</v>
      </c>
      <c r="D32" s="171">
        <v>1.68</v>
      </c>
      <c r="E32" s="171">
        <v>1.87</v>
      </c>
      <c r="F32" s="171">
        <v>1.87</v>
      </c>
      <c r="G32" s="171">
        <v>2.07</v>
      </c>
      <c r="H32" s="171">
        <v>2.07</v>
      </c>
      <c r="I32" s="171">
        <v>2.07</v>
      </c>
      <c r="J32" s="171">
        <v>2.27</v>
      </c>
      <c r="K32" s="171">
        <v>2.27</v>
      </c>
      <c r="L32" s="171">
        <v>2.27</v>
      </c>
      <c r="M32" s="172">
        <v>2.27</v>
      </c>
      <c r="O32" s="181">
        <v>15000</v>
      </c>
      <c r="P32" s="182">
        <f>((O32*P6*C32*0.5/100)*0.6)*0.5</f>
        <v>3520.125</v>
      </c>
      <c r="Q32" s="183">
        <f>((O32*Q6*D32*0.5/100)*0.6)*0.5</f>
        <v>8694</v>
      </c>
      <c r="R32" s="183">
        <f>((O32*R6*E32*0.5/100)*0.6)*0.5</f>
        <v>15778.125</v>
      </c>
      <c r="S32" s="183">
        <f>((O32*S6*F32*0.5/100)*0.6)*0.5</f>
        <v>17966.024999999998</v>
      </c>
      <c r="T32" s="183">
        <f>((O32*T6*G32*0.5/100)*0.6)*0.5</f>
        <v>22449.149999999994</v>
      </c>
      <c r="U32" s="183">
        <f>((O32*U6*H32*0.5/100)*0.6)*0.5</f>
        <v>24824.474999999995</v>
      </c>
      <c r="V32" s="183">
        <f>((O32*V6*I32*0.5/100)*0.6)*0.5</f>
        <v>29808</v>
      </c>
      <c r="W32" s="183">
        <f>((O32*W6*J32*0.5/100)*0.6)*0.5</f>
        <v>40553.549999999996</v>
      </c>
      <c r="X32" s="183">
        <f>((O32*X6*K32*0.5/100)*0.6)*0.5</f>
        <v>49134.15</v>
      </c>
      <c r="Y32" s="183">
        <f>((O32*Y6*L32*0.5/100)*0.6)*0.5</f>
        <v>56080.35</v>
      </c>
      <c r="Z32" s="184">
        <f>((O32*Z6*M32*0.5/100)*0.6)*0.5</f>
        <v>66959.325</v>
      </c>
      <c r="AA32" s="162"/>
    </row>
    <row r="33" spans="1:27" ht="12.75" customHeight="1">
      <c r="A33" s="162"/>
      <c r="B33" s="169">
        <v>17500</v>
      </c>
      <c r="C33" s="170">
        <v>1.41</v>
      </c>
      <c r="D33" s="171">
        <v>1.58</v>
      </c>
      <c r="E33" s="171">
        <v>1.76</v>
      </c>
      <c r="F33" s="171">
        <v>1.76</v>
      </c>
      <c r="G33" s="171">
        <v>1.94</v>
      </c>
      <c r="H33" s="171">
        <v>1.94</v>
      </c>
      <c r="I33" s="171">
        <v>1.94</v>
      </c>
      <c r="J33" s="171">
        <v>2.12</v>
      </c>
      <c r="K33" s="171">
        <v>2.12</v>
      </c>
      <c r="L33" s="171">
        <v>2.12</v>
      </c>
      <c r="M33" s="172">
        <v>2.12</v>
      </c>
      <c r="O33" s="181">
        <v>17500</v>
      </c>
      <c r="P33" s="182">
        <f>((O33*P6*C33*0.5/100)*0.6)*0.5</f>
        <v>3886.3125</v>
      </c>
      <c r="Q33" s="183">
        <f>((O33*Q6*D33*0.5/100)*0.6)*0.5</f>
        <v>9539.25</v>
      </c>
      <c r="R33" s="183">
        <f>((O33*R6*E33*0.5/100)*0.6)*0.5</f>
        <v>17325</v>
      </c>
      <c r="S33" s="183">
        <f>((O33*S6*F33*0.5/100)*0.6)*0.5</f>
        <v>19727.399999999998</v>
      </c>
      <c r="T33" s="183">
        <f>((O33*T6*G33*0.5/100)*0.6)*0.5</f>
        <v>24545.85</v>
      </c>
      <c r="U33" s="183">
        <f>((O33*U6*H33*0.5/100)*0.6)*0.5</f>
        <v>27143.024999999998</v>
      </c>
      <c r="V33" s="183">
        <f>((O33*V6*I33*0.5/100)*0.6)*0.5</f>
        <v>32592</v>
      </c>
      <c r="W33" s="183">
        <f>((O33*W6*J33*0.5/100)*0.6)*0.5</f>
        <v>44186.1</v>
      </c>
      <c r="X33" s="183">
        <f>((O33*X6*K33*0.5/100)*0.6)*0.5</f>
        <v>53535.299999999996</v>
      </c>
      <c r="Y33" s="183">
        <f>((O33*Y6*L33*0.5/100)*0.6)*0.5</f>
        <v>61103.7</v>
      </c>
      <c r="Z33" s="184">
        <f>((O33*Z6*M33*0.5/100)*0.6)*0.5</f>
        <v>72957.15</v>
      </c>
      <c r="AA33" s="162"/>
    </row>
    <row r="34" spans="1:27" ht="12.75" customHeight="1">
      <c r="A34" s="162"/>
      <c r="B34" s="169">
        <v>20000</v>
      </c>
      <c r="C34" s="170">
        <v>1.34</v>
      </c>
      <c r="D34" s="171">
        <v>1.51</v>
      </c>
      <c r="E34" s="171">
        <v>1.67</v>
      </c>
      <c r="F34" s="171">
        <v>1.67</v>
      </c>
      <c r="G34" s="171">
        <v>1.84</v>
      </c>
      <c r="H34" s="171">
        <v>1.84</v>
      </c>
      <c r="I34" s="171">
        <v>1.84</v>
      </c>
      <c r="J34" s="171">
        <v>2</v>
      </c>
      <c r="K34" s="171">
        <v>2</v>
      </c>
      <c r="L34" s="171">
        <v>2</v>
      </c>
      <c r="M34" s="172">
        <v>2</v>
      </c>
      <c r="O34" s="181">
        <v>20000</v>
      </c>
      <c r="P34" s="182">
        <f>((O34*P6*C34*0.5/100)*0.6)*0.5</f>
        <v>4221</v>
      </c>
      <c r="Q34" s="183">
        <f>((O34*Q6*D34*0.5/100)*0.6)*0.5</f>
        <v>10419</v>
      </c>
      <c r="R34" s="183">
        <f>((O34*R6*E34*0.5/100)*0.6)*0.5</f>
        <v>18787.5</v>
      </c>
      <c r="S34" s="183">
        <f>((O34*S6*F34*0.5/100)*0.6)*0.5</f>
        <v>21392.7</v>
      </c>
      <c r="T34" s="183">
        <f>((O34*T6*G34*0.5/100)*0.6)*0.5</f>
        <v>26606.399999999998</v>
      </c>
      <c r="U34" s="183">
        <f>((O34*U6*H34*0.5/100)*0.6)*0.5</f>
        <v>29421.6</v>
      </c>
      <c r="V34" s="183">
        <f>((O34*V6*I34*0.5/100)*0.6)*0.5</f>
        <v>35328</v>
      </c>
      <c r="W34" s="183">
        <f>((O34*W6*J34*0.5/100)*0.6)*0.5</f>
        <v>47640</v>
      </c>
      <c r="X34" s="183">
        <f>((O34*X6*K34*0.5/100)*0.6)*0.5</f>
        <v>57720</v>
      </c>
      <c r="Y34" s="183">
        <f>((O34*Y6*L34*0.5/100)*0.6)*0.5</f>
        <v>65880</v>
      </c>
      <c r="Z34" s="184">
        <f>((O34*Z6*M34*0.5/100)*0.6)*0.5</f>
        <v>78660</v>
      </c>
      <c r="AA34" s="162"/>
    </row>
    <row r="35" spans="1:27" ht="12.75" customHeight="1">
      <c r="A35" s="162"/>
      <c r="B35" s="169">
        <v>22500</v>
      </c>
      <c r="C35" s="170">
        <v>1.28</v>
      </c>
      <c r="D35" s="171">
        <v>1.43</v>
      </c>
      <c r="E35" s="171">
        <v>1.57</v>
      </c>
      <c r="F35" s="171">
        <v>1.57</v>
      </c>
      <c r="G35" s="171">
        <v>1.73</v>
      </c>
      <c r="H35" s="171">
        <v>1.73</v>
      </c>
      <c r="I35" s="171">
        <v>1.73</v>
      </c>
      <c r="J35" s="171">
        <v>1.88</v>
      </c>
      <c r="K35" s="171">
        <v>1.88</v>
      </c>
      <c r="L35" s="171">
        <v>1.88</v>
      </c>
      <c r="M35" s="172">
        <v>1.88</v>
      </c>
      <c r="O35" s="181">
        <v>22500</v>
      </c>
      <c r="P35" s="182">
        <f>((O35*P6*C35*0.5/100)*0.6)*0.5</f>
        <v>4536</v>
      </c>
      <c r="Q35" s="183">
        <f>((O35*Q6*D35*0.5/100)*0.6)*0.5</f>
        <v>11100.375</v>
      </c>
      <c r="R35" s="183">
        <f>((O35*R6*E35*0.5/100)*0.6)*0.5</f>
        <v>19870.3125</v>
      </c>
      <c r="S35" s="183">
        <f>((O35*S6*F35*0.5/100)*0.6)*0.5</f>
        <v>22625.6625</v>
      </c>
      <c r="T35" s="183">
        <f>((O35*T6*G35*0.5/100)*0.6)*0.5</f>
        <v>28142.774999999998</v>
      </c>
      <c r="U35" s="183">
        <f>((O35*U6*H35*0.5/100)*0.6)*0.5</f>
        <v>31120.5375</v>
      </c>
      <c r="V35" s="183">
        <f>((O35*V6*I35*0.5/100)*0.6)*0.5</f>
        <v>37368</v>
      </c>
      <c r="W35" s="183">
        <f>((O35*W6*J35*0.5/100)*0.6)*0.5</f>
        <v>50379.299999999996</v>
      </c>
      <c r="X35" s="183">
        <f>((O35*X6*K35*0.5/100)*0.6)*0.5</f>
        <v>61038.899999999994</v>
      </c>
      <c r="Y35" s="183">
        <f>((O35*Y6*L35*0.5/100)*0.6)*0.5</f>
        <v>69668.09999999999</v>
      </c>
      <c r="Z35" s="184">
        <f>((O35*Z6*M35*0.5/100)*0.6)*0.5</f>
        <v>83182.95</v>
      </c>
      <c r="AA35" s="162"/>
    </row>
    <row r="36" spans="1:27" ht="12.75" customHeight="1">
      <c r="A36" s="162"/>
      <c r="B36" s="169">
        <v>25000</v>
      </c>
      <c r="C36" s="170">
        <v>1.22</v>
      </c>
      <c r="D36" s="171">
        <v>1.35</v>
      </c>
      <c r="E36" s="171">
        <v>1.5</v>
      </c>
      <c r="F36" s="171">
        <v>1.5</v>
      </c>
      <c r="G36" s="171">
        <v>1.64</v>
      </c>
      <c r="H36" s="171">
        <v>1.64</v>
      </c>
      <c r="I36" s="171">
        <v>1.64</v>
      </c>
      <c r="J36" s="171">
        <v>1.79</v>
      </c>
      <c r="K36" s="171">
        <v>1.79</v>
      </c>
      <c r="L36" s="171">
        <v>1.79</v>
      </c>
      <c r="M36" s="172">
        <v>1.79</v>
      </c>
      <c r="O36" s="181">
        <v>25000</v>
      </c>
      <c r="P36" s="182">
        <f>((O36*P6*C36*0.5/100)*0.6)*0.5</f>
        <v>4803.75</v>
      </c>
      <c r="Q36" s="183">
        <f>((O36*Q6*D36*0.5/100)*0.6)*0.5</f>
        <v>11643.750000000002</v>
      </c>
      <c r="R36" s="183">
        <f>((O36*R6*E36*0.5/100)*0.6)*0.5</f>
        <v>21093.75</v>
      </c>
      <c r="S36" s="183">
        <f>((O36*S6*F36*0.5/100)*0.6)*0.5</f>
        <v>24018.75</v>
      </c>
      <c r="T36" s="183">
        <f>((O36*T6*G36*0.5/100)*0.6)*0.5</f>
        <v>29643</v>
      </c>
      <c r="U36" s="183">
        <f>((O36*U6*H36*0.5/100)*0.6)*0.5</f>
        <v>32779.5</v>
      </c>
      <c r="V36" s="183">
        <f>((O36*V6*I36*0.5/100)*0.6)*0.5</f>
        <v>39360</v>
      </c>
      <c r="W36" s="183">
        <f>((O36*W6*J36*0.5/100)*0.6)*0.5</f>
        <v>53297.25</v>
      </c>
      <c r="X36" s="183">
        <f>((O36*X6*K36*0.5/100)*0.6)*0.5</f>
        <v>64574.25</v>
      </c>
      <c r="Y36" s="183">
        <f>((O36*Y6*L36*0.5/100)*0.6)*0.5</f>
        <v>73703.25</v>
      </c>
      <c r="Z36" s="184">
        <f>((O36*Z6*M36*0.5/100)*0.6)*0.5</f>
        <v>88000.875</v>
      </c>
      <c r="AA36" s="162"/>
    </row>
    <row r="37" spans="1:27" ht="12.75" customHeight="1">
      <c r="A37" s="162"/>
      <c r="B37" s="169">
        <v>27500</v>
      </c>
      <c r="C37" s="170">
        <v>1.16</v>
      </c>
      <c r="D37" s="171">
        <v>1.29</v>
      </c>
      <c r="E37" s="171">
        <v>1.42</v>
      </c>
      <c r="F37" s="171">
        <v>1.42</v>
      </c>
      <c r="G37" s="171">
        <v>1.55</v>
      </c>
      <c r="H37" s="171">
        <v>1.55</v>
      </c>
      <c r="I37" s="171">
        <v>1.55</v>
      </c>
      <c r="J37" s="171">
        <v>1.68</v>
      </c>
      <c r="K37" s="171">
        <v>1.68</v>
      </c>
      <c r="L37" s="171">
        <v>1.68</v>
      </c>
      <c r="M37" s="172">
        <v>1.68</v>
      </c>
      <c r="O37" s="181">
        <v>27500</v>
      </c>
      <c r="P37" s="182">
        <f>((O37*P6*C37*0.5/100)*0.6)*0.5</f>
        <v>5024.25</v>
      </c>
      <c r="Q37" s="183">
        <f>((O37*Q6*D37*0.5/100)*0.6)*0.5</f>
        <v>12238.875</v>
      </c>
      <c r="R37" s="183">
        <f>((O37*R6*E37*0.5/100)*0.6)*0.5</f>
        <v>21965.625</v>
      </c>
      <c r="S37" s="183">
        <f>((O37*S6*F37*0.5/100)*0.6)*0.5</f>
        <v>25011.524999999998</v>
      </c>
      <c r="T37" s="183">
        <f>((O37*T6*G37*0.5/100)*0.6)*0.5</f>
        <v>30817.875</v>
      </c>
      <c r="U37" s="183">
        <f>((O37*U6*H37*0.5/100)*0.6)*0.5</f>
        <v>34078.6875</v>
      </c>
      <c r="V37" s="183">
        <f>((O37*V6*I37*0.5/100)*0.6)*0.5</f>
        <v>40920</v>
      </c>
      <c r="W37" s="183">
        <f>((O37*W6*J37*0.5/100)*0.6)*0.5</f>
        <v>55024.2</v>
      </c>
      <c r="X37" s="183">
        <f>((O37*X6*K37*0.5/100)*0.6)*0.5</f>
        <v>66666.59999999999</v>
      </c>
      <c r="Y37" s="183">
        <f>((O37*Y6*L37*0.5/100)*0.6)*0.5</f>
        <v>76091.4</v>
      </c>
      <c r="Z37" s="184">
        <f>((O37*Z6*M37*0.5/100)*0.6)*0.5</f>
        <v>90852.3</v>
      </c>
      <c r="AA37" s="162"/>
    </row>
    <row r="38" spans="1:27" ht="12.75" customHeight="1">
      <c r="A38" s="162"/>
      <c r="B38" s="169">
        <v>30000</v>
      </c>
      <c r="C38" s="170">
        <v>1.1</v>
      </c>
      <c r="D38" s="171">
        <v>1.22</v>
      </c>
      <c r="E38" s="171">
        <v>1.35</v>
      </c>
      <c r="F38" s="171">
        <v>1.35</v>
      </c>
      <c r="G38" s="171">
        <v>1.47</v>
      </c>
      <c r="H38" s="171">
        <v>1.47</v>
      </c>
      <c r="I38" s="171">
        <v>1.47</v>
      </c>
      <c r="J38" s="171">
        <v>1.61</v>
      </c>
      <c r="K38" s="171">
        <v>1.61</v>
      </c>
      <c r="L38" s="171">
        <v>1.61</v>
      </c>
      <c r="M38" s="172">
        <v>1.61</v>
      </c>
      <c r="O38" s="181">
        <v>30000</v>
      </c>
      <c r="P38" s="182">
        <f>((O38*P6*C38*0.5/100)*0.6)*0.5</f>
        <v>5197.500000000001</v>
      </c>
      <c r="Q38" s="183">
        <f>((O38*Q6*D38*0.5/100)*0.6)*0.5</f>
        <v>12627</v>
      </c>
      <c r="R38" s="183">
        <f>((O38*R6*E38*0.5/100)*0.6)*0.5</f>
        <v>22781.250000000004</v>
      </c>
      <c r="S38" s="183">
        <f>((O38*S6*F38*0.5/100)*0.6)*0.5</f>
        <v>25940.25</v>
      </c>
      <c r="T38" s="183">
        <f>((O38*T6*G38*0.5/100)*0.6)*0.5</f>
        <v>31884.3</v>
      </c>
      <c r="U38" s="183">
        <f>((O38*U6*H38*0.5/100)*0.6)*0.5</f>
        <v>35257.95</v>
      </c>
      <c r="V38" s="183">
        <f>((O38*V6*I38*0.5/100)*0.6)*0.5</f>
        <v>42336</v>
      </c>
      <c r="W38" s="183">
        <f>((O38*W6*J38*0.5/100)*0.6)*0.5</f>
        <v>57525.299999999996</v>
      </c>
      <c r="X38" s="183">
        <f>((O38*X6*K38*0.5/100)*0.6)*0.5</f>
        <v>69696.9</v>
      </c>
      <c r="Y38" s="183">
        <f>((O38*Y6*L38*0.5/100)*0.6)*0.5</f>
        <v>79550.09999999999</v>
      </c>
      <c r="Z38" s="184">
        <f>((O38*Z6*M38*0.5/100)*0.6)*0.5</f>
        <v>94981.95000000001</v>
      </c>
      <c r="AA38" s="162"/>
    </row>
    <row r="39" spans="1:27" ht="12.75" customHeight="1">
      <c r="A39" s="162"/>
      <c r="B39" s="169">
        <v>32500</v>
      </c>
      <c r="C39" s="170">
        <v>1.05</v>
      </c>
      <c r="D39" s="171">
        <v>1.18</v>
      </c>
      <c r="E39" s="171">
        <v>1.31</v>
      </c>
      <c r="F39" s="171">
        <v>1.31</v>
      </c>
      <c r="G39" s="171">
        <v>1.44</v>
      </c>
      <c r="H39" s="171">
        <v>1.44</v>
      </c>
      <c r="I39" s="171">
        <v>1.44</v>
      </c>
      <c r="J39" s="171">
        <v>1.57</v>
      </c>
      <c r="K39" s="171">
        <v>1.57</v>
      </c>
      <c r="L39" s="171">
        <v>1.57</v>
      </c>
      <c r="M39" s="172">
        <v>1.57</v>
      </c>
      <c r="O39" s="181">
        <v>32500</v>
      </c>
      <c r="P39" s="182">
        <f>((O39*P6*C39*0.5/100)*0.6)*0.5</f>
        <v>5374.6875</v>
      </c>
      <c r="Q39" s="183">
        <f>((O39*Q6*D39*0.5/100)*0.6)*0.5</f>
        <v>13230.75</v>
      </c>
      <c r="R39" s="183">
        <f>((O39*R6*E39*0.5/100)*0.6)*0.5</f>
        <v>23948.4375</v>
      </c>
      <c r="S39" s="183">
        <f>((O39*S6*F39*0.5/100)*0.6)*0.5</f>
        <v>27269.2875</v>
      </c>
      <c r="T39" s="183">
        <f>((O39*T6*G39*0.5/100)*0.6)*0.5</f>
        <v>33836.4</v>
      </c>
      <c r="U39" s="183">
        <f>((O39*U6*H39*0.5/100)*0.6)*0.5</f>
        <v>37416.6</v>
      </c>
      <c r="V39" s="183">
        <f>((O39*V6*I39*0.5/100)*0.6)*0.5</f>
        <v>44928</v>
      </c>
      <c r="W39" s="183">
        <f>((O39*W6*J39*0.5/100)*0.6)*0.5</f>
        <v>60770.774999999994</v>
      </c>
      <c r="X39" s="183">
        <f>((O39*X6*K39*0.5/100)*0.6)*0.5</f>
        <v>73629.075</v>
      </c>
      <c r="Y39" s="183">
        <f>((O39*Y6*L39*0.5/100)*0.6)*0.5</f>
        <v>84038.175</v>
      </c>
      <c r="Z39" s="184">
        <f>((O39*Z6*M39*0.5/100)*0.6)*0.5</f>
        <v>100340.66249999999</v>
      </c>
      <c r="AA39" s="162"/>
    </row>
    <row r="40" spans="1:27" ht="12.75" customHeight="1">
      <c r="A40" s="162"/>
      <c r="B40" s="169">
        <v>35000</v>
      </c>
      <c r="C40" s="170">
        <v>1.01</v>
      </c>
      <c r="D40" s="171">
        <v>1.14</v>
      </c>
      <c r="E40" s="171">
        <v>1.26</v>
      </c>
      <c r="F40" s="171">
        <v>1.26</v>
      </c>
      <c r="G40" s="171">
        <v>1.39</v>
      </c>
      <c r="H40" s="171">
        <v>1.39</v>
      </c>
      <c r="I40" s="171">
        <v>1.39</v>
      </c>
      <c r="J40" s="171">
        <v>1.51</v>
      </c>
      <c r="K40" s="171">
        <v>1.51</v>
      </c>
      <c r="L40" s="171">
        <v>1.51</v>
      </c>
      <c r="M40" s="172">
        <v>1.51</v>
      </c>
      <c r="O40" s="181">
        <v>35000</v>
      </c>
      <c r="P40" s="182">
        <f>((O40*P6*C40*0.5/100)*0.6)*0.5</f>
        <v>5567.625</v>
      </c>
      <c r="Q40" s="183">
        <f>((O40*Q6*D40*0.5/100)*0.6)*0.5</f>
        <v>13765.5</v>
      </c>
      <c r="R40" s="183">
        <f>((O40*R6*E40*0.5/100)*0.6)*0.5</f>
        <v>24806.25</v>
      </c>
      <c r="S40" s="183">
        <f>((O40*S6*F40*0.5/100)*0.6)*0.5</f>
        <v>28246.05</v>
      </c>
      <c r="T40" s="183">
        <f>((O40*T6*G40*0.5/100)*0.6)*0.5</f>
        <v>35173.95</v>
      </c>
      <c r="U40" s="183">
        <f>((O40*U6*H40*0.5/100)*0.6)*0.5</f>
        <v>38895.674999999996</v>
      </c>
      <c r="V40" s="183">
        <f>((O40*V6*I40*0.5/100)*0.6)*0.5</f>
        <v>46703.99999999999</v>
      </c>
      <c r="W40" s="183">
        <f>((O40*W6*J40*0.5/100)*0.6)*0.5</f>
        <v>62944.35</v>
      </c>
      <c r="X40" s="183">
        <f>((O40*X6*K40*0.5/100)*0.6)*0.5</f>
        <v>76262.55</v>
      </c>
      <c r="Y40" s="183">
        <f>((O40*Y6*L40*0.5/100)*0.6)*0.5</f>
        <v>87043.95</v>
      </c>
      <c r="Z40" s="184">
        <f>((O40*Z6*M40*0.5/100)*0.6)*0.5</f>
        <v>103929.525</v>
      </c>
      <c r="AA40" s="162"/>
    </row>
    <row r="41" spans="1:27" ht="12.75" customHeight="1">
      <c r="A41" s="162"/>
      <c r="B41" s="169">
        <v>37500</v>
      </c>
      <c r="C41" s="170">
        <v>0.98</v>
      </c>
      <c r="D41" s="171">
        <v>1.1</v>
      </c>
      <c r="E41" s="171">
        <v>1.22</v>
      </c>
      <c r="F41" s="171">
        <v>1.22</v>
      </c>
      <c r="G41" s="171">
        <v>1.34</v>
      </c>
      <c r="H41" s="171">
        <v>1.34</v>
      </c>
      <c r="I41" s="171">
        <v>1.34</v>
      </c>
      <c r="J41" s="171">
        <v>1.46</v>
      </c>
      <c r="K41" s="171">
        <v>1.46</v>
      </c>
      <c r="L41" s="171">
        <v>1.46</v>
      </c>
      <c r="M41" s="172">
        <v>1.46</v>
      </c>
      <c r="O41" s="181">
        <v>37500</v>
      </c>
      <c r="P41" s="182">
        <f>((O41*P6*C41*0.5/100)*0.6)*0.5</f>
        <v>5788.125</v>
      </c>
      <c r="Q41" s="183">
        <f>((O41*Q6*D41*0.5/100)*0.6)*0.5</f>
        <v>14231.25</v>
      </c>
      <c r="R41" s="183">
        <f>((O41*R6*E41*0.5/100)*0.6)*0.5</f>
        <v>25734.375</v>
      </c>
      <c r="S41" s="183">
        <f>((O41*S6*F41*0.5/100)*0.6)*0.5</f>
        <v>29302.875</v>
      </c>
      <c r="T41" s="183">
        <f>((O41*T6*G41*0.5/100)*0.6)*0.5</f>
        <v>36330.75</v>
      </c>
      <c r="U41" s="183">
        <f>((O41*U6*H41*0.5/100)*0.6)*0.5</f>
        <v>40174.875</v>
      </c>
      <c r="V41" s="183">
        <f>((O41*V6*I41*0.5/100)*0.6)*0.5</f>
        <v>48240.00000000001</v>
      </c>
      <c r="W41" s="183">
        <f>((O41*W6*J41*0.5/100)*0.6)*0.5</f>
        <v>65207.25</v>
      </c>
      <c r="X41" s="183">
        <f>((O41*X6*K41*0.5/100)*0.6)*0.5</f>
        <v>79004.25</v>
      </c>
      <c r="Y41" s="183">
        <f>((O41*Y6*L41*0.5/100)*0.6)*0.5</f>
        <v>90173.25</v>
      </c>
      <c r="Z41" s="184">
        <f>((O41*Z6*M41*0.5/100)*0.6)*0.5</f>
        <v>107665.875</v>
      </c>
      <c r="AA41" s="162"/>
    </row>
    <row r="42" spans="1:27" ht="12.75" customHeight="1">
      <c r="A42" s="162"/>
      <c r="B42" s="169">
        <v>40000</v>
      </c>
      <c r="C42" s="170">
        <v>0.95</v>
      </c>
      <c r="D42" s="171">
        <v>1.07</v>
      </c>
      <c r="E42" s="171">
        <v>1.18</v>
      </c>
      <c r="F42" s="171">
        <v>1.18</v>
      </c>
      <c r="G42" s="171">
        <v>1.3</v>
      </c>
      <c r="H42" s="171">
        <v>1.3</v>
      </c>
      <c r="I42" s="171">
        <v>1.3</v>
      </c>
      <c r="J42" s="171">
        <v>1.41</v>
      </c>
      <c r="K42" s="171">
        <v>1.41</v>
      </c>
      <c r="L42" s="171">
        <v>1.41</v>
      </c>
      <c r="M42" s="172">
        <v>1.41</v>
      </c>
      <c r="O42" s="181">
        <v>40000</v>
      </c>
      <c r="P42" s="182">
        <f>((O42*P6*C42*0.5/100)*0.6)*0.5</f>
        <v>5985</v>
      </c>
      <c r="Q42" s="183">
        <f>((O42*Q6*D42*0.5/100)*0.6)*0.5</f>
        <v>14766</v>
      </c>
      <c r="R42" s="183">
        <f>((O42*R6*E42*0.5/100)*0.6)*0.5</f>
        <v>26550</v>
      </c>
      <c r="S42" s="183">
        <f>((O42*S6*F42*0.5/100)*0.6)*0.5</f>
        <v>30231.6</v>
      </c>
      <c r="T42" s="183">
        <f>((O42*T6*G42*0.5/100)*0.6)*0.5</f>
        <v>37596</v>
      </c>
      <c r="U42" s="183">
        <f>((O42*U6*H42*0.5/100)*0.6)*0.5</f>
        <v>41574</v>
      </c>
      <c r="V42" s="183">
        <f>((O42*V6*I42*0.5/100)*0.6)*0.5</f>
        <v>49920</v>
      </c>
      <c r="W42" s="183">
        <f>((O42*W6*J42*0.5/100)*0.6)*0.5</f>
        <v>67172.4</v>
      </c>
      <c r="X42" s="183">
        <f>((O42*X6*K42*0.5/100)*0.6)*0.5</f>
        <v>81385.2</v>
      </c>
      <c r="Y42" s="183">
        <f>((O42*Y6*L42*0.5/100)*0.6)*0.5</f>
        <v>92890.8</v>
      </c>
      <c r="Z42" s="184">
        <f>((O42*Z6*M42*0.5/100)*0.6)*0.5</f>
        <v>110910.59999999999</v>
      </c>
      <c r="AA42" s="162"/>
    </row>
    <row r="43" spans="1:27" ht="12.75" customHeight="1">
      <c r="A43" s="162"/>
      <c r="B43" s="169">
        <v>42500</v>
      </c>
      <c r="C43" s="170">
        <v>0.92</v>
      </c>
      <c r="D43" s="171">
        <v>1.04</v>
      </c>
      <c r="E43" s="171">
        <v>1.15</v>
      </c>
      <c r="F43" s="171">
        <v>1.15</v>
      </c>
      <c r="G43" s="171">
        <v>1.26</v>
      </c>
      <c r="H43" s="171">
        <v>1.26</v>
      </c>
      <c r="I43" s="171">
        <v>1.26</v>
      </c>
      <c r="J43" s="171">
        <v>1.37</v>
      </c>
      <c r="K43" s="171">
        <v>1.37</v>
      </c>
      <c r="L43" s="171">
        <v>1.37</v>
      </c>
      <c r="M43" s="172">
        <v>1.37</v>
      </c>
      <c r="O43" s="181">
        <v>42500</v>
      </c>
      <c r="P43" s="182">
        <f>((O43*P6*C43*0.5/100)*0.6)*0.5</f>
        <v>6158.25</v>
      </c>
      <c r="Q43" s="183">
        <f>((O43*Q6*D43*0.5/100)*0.6)*0.5</f>
        <v>15249</v>
      </c>
      <c r="R43" s="183">
        <f>((O43*R6*E43*0.5/100)*0.6)*0.5</f>
        <v>27492.1875</v>
      </c>
      <c r="S43" s="183">
        <f>((O43*S6*F43*0.5/100)*0.6)*0.5</f>
        <v>31304.4375</v>
      </c>
      <c r="T43" s="183">
        <f>((O43*T6*G43*0.5/100)*0.6)*0.5</f>
        <v>38716.65</v>
      </c>
      <c r="U43" s="183">
        <f>((O43*U6*H43*0.5/100)*0.6)*0.5</f>
        <v>42813.225</v>
      </c>
      <c r="V43" s="183">
        <f>((O43*V6*I43*0.5/100)*0.6)*0.5</f>
        <v>51408</v>
      </c>
      <c r="W43" s="183">
        <f>((O43*W6*J43*0.5/100)*0.6)*0.5</f>
        <v>69345.97499999999</v>
      </c>
      <c r="X43" s="183">
        <f>((O43*X6*K43*0.5/100)*0.6)*0.5</f>
        <v>84018.67500000002</v>
      </c>
      <c r="Y43" s="183">
        <f>((O43*Y6*L43*0.5/100)*0.6)*0.5</f>
        <v>95896.57500000001</v>
      </c>
      <c r="Z43" s="184">
        <f>((O43*Z6*M43*0.5/100)*0.6)*0.5</f>
        <v>114499.4625</v>
      </c>
      <c r="AA43" s="162"/>
    </row>
    <row r="44" spans="1:27" ht="12.75" customHeight="1">
      <c r="A44" s="162"/>
      <c r="B44" s="169">
        <v>45000</v>
      </c>
      <c r="C44" s="170">
        <v>0.89</v>
      </c>
      <c r="D44" s="171">
        <v>1.01</v>
      </c>
      <c r="E44" s="171">
        <v>1.11</v>
      </c>
      <c r="F44" s="171">
        <v>1.11</v>
      </c>
      <c r="G44" s="171">
        <v>1.23</v>
      </c>
      <c r="H44" s="171">
        <v>1.23</v>
      </c>
      <c r="I44" s="171">
        <v>1.23</v>
      </c>
      <c r="J44" s="171">
        <v>1.33</v>
      </c>
      <c r="K44" s="171">
        <v>1.33</v>
      </c>
      <c r="L44" s="171">
        <v>1.33</v>
      </c>
      <c r="M44" s="172">
        <v>1.33</v>
      </c>
      <c r="O44" s="181">
        <v>45000</v>
      </c>
      <c r="P44" s="182">
        <f>((O44*P6*C44*0.5/100)*0.6)*0.5</f>
        <v>6307.875</v>
      </c>
      <c r="Q44" s="183">
        <f>((O44*Q6*D44*0.5/100)*0.6)*0.5</f>
        <v>15680.25</v>
      </c>
      <c r="R44" s="183">
        <f>((O44*R6*E44*0.5/100)*0.6)*0.5</f>
        <v>28096.875</v>
      </c>
      <c r="S44" s="183">
        <f>((O44*S6*F44*0.5/100)*0.6)*0.5</f>
        <v>31992.975000000002</v>
      </c>
      <c r="T44" s="183">
        <f>((O44*T6*G44*0.5/100)*0.6)*0.5</f>
        <v>40018.049999999996</v>
      </c>
      <c r="U44" s="183">
        <f>((O44*U6*H44*0.5/100)*0.6)*0.5</f>
        <v>44252.325</v>
      </c>
      <c r="V44" s="183">
        <f>((O44*V6*I44*0.5/100)*0.6)*0.5</f>
        <v>53136</v>
      </c>
      <c r="W44" s="183">
        <f>((O44*W6*J44*0.5/100)*0.6)*0.5</f>
        <v>71281.34999999999</v>
      </c>
      <c r="X44" s="183">
        <f>((O44*X6*K44*0.5/100)*0.6)*0.5</f>
        <v>86363.55</v>
      </c>
      <c r="Y44" s="183">
        <f>((O44*Y6*L44*0.5/100)*0.6)*0.5</f>
        <v>98572.95</v>
      </c>
      <c r="Z44" s="184">
        <f>((O44*Z6*M44*0.5/100)*0.6)*0.5</f>
        <v>117695.025</v>
      </c>
      <c r="AA44" s="162"/>
    </row>
    <row r="45" spans="1:27" ht="12.75" customHeight="1">
      <c r="A45" s="162"/>
      <c r="B45" s="169">
        <v>47500</v>
      </c>
      <c r="C45" s="170">
        <v>0.87</v>
      </c>
      <c r="D45" s="171">
        <v>0.98</v>
      </c>
      <c r="E45" s="171">
        <v>1.08</v>
      </c>
      <c r="F45" s="171">
        <v>1.08</v>
      </c>
      <c r="G45" s="171">
        <v>1.19</v>
      </c>
      <c r="H45" s="171">
        <v>1.19</v>
      </c>
      <c r="I45" s="171">
        <v>1.19</v>
      </c>
      <c r="J45" s="171">
        <v>1.3</v>
      </c>
      <c r="K45" s="171">
        <v>1.3</v>
      </c>
      <c r="L45" s="171">
        <v>1.3</v>
      </c>
      <c r="M45" s="172">
        <v>1.3</v>
      </c>
      <c r="O45" s="181">
        <v>47500</v>
      </c>
      <c r="P45" s="182">
        <f>((O45*P6*C45*0.5/100)*0.6)*0.5</f>
        <v>6508.6875</v>
      </c>
      <c r="Q45" s="183">
        <f>((O45*Q6*D45*0.5/100)*0.6)*0.5</f>
        <v>16059.75</v>
      </c>
      <c r="R45" s="183">
        <f>((O45*R6*E45*0.5/100)*0.6)*0.5</f>
        <v>28856.25</v>
      </c>
      <c r="S45" s="183">
        <f>((O45*S6*F45*0.5/100)*0.6)*0.5</f>
        <v>32857.65</v>
      </c>
      <c r="T45" s="183">
        <f>((O45*T6*G45*0.5/100)*0.6)*0.5</f>
        <v>40867.575</v>
      </c>
      <c r="U45" s="183">
        <f>((O45*U6*H45*0.5/100)*0.6)*0.5</f>
        <v>45191.737499999996</v>
      </c>
      <c r="V45" s="183">
        <f>((O45*V6*I45*0.5/100)*0.6)*0.5</f>
        <v>54264</v>
      </c>
      <c r="W45" s="183">
        <f>((O45*W6*J45*0.5/100)*0.6)*0.5</f>
        <v>73544.25</v>
      </c>
      <c r="X45" s="183">
        <f>((O45*X6*K45*0.5/100)*0.6)*0.5</f>
        <v>89105.25</v>
      </c>
      <c r="Y45" s="183">
        <f>((O45*Y6*L45*0.5/100)*0.6)*0.5</f>
        <v>101702.25</v>
      </c>
      <c r="Z45" s="184">
        <f>((O45*Z6*M45*0.5/100)*0.6)*0.5</f>
        <v>121431.375</v>
      </c>
      <c r="AA45" s="162"/>
    </row>
    <row r="46" spans="1:27" ht="12.75" customHeight="1">
      <c r="A46" s="162"/>
      <c r="B46" s="169">
        <v>50000</v>
      </c>
      <c r="C46" s="170">
        <v>0.85</v>
      </c>
      <c r="D46" s="171">
        <v>0.96</v>
      </c>
      <c r="E46" s="171">
        <v>1.05</v>
      </c>
      <c r="F46" s="171">
        <v>1.05</v>
      </c>
      <c r="G46" s="171">
        <v>1.16</v>
      </c>
      <c r="H46" s="171">
        <v>1.16</v>
      </c>
      <c r="I46" s="171">
        <v>1.16</v>
      </c>
      <c r="J46" s="171">
        <v>1.26</v>
      </c>
      <c r="K46" s="171">
        <v>1.26</v>
      </c>
      <c r="L46" s="171">
        <v>1.26</v>
      </c>
      <c r="M46" s="172">
        <v>1.26</v>
      </c>
      <c r="O46" s="181">
        <v>50000</v>
      </c>
      <c r="P46" s="182">
        <f>((O46*P6*C46*0.5/100)*0.6)*0.5</f>
        <v>6693.75</v>
      </c>
      <c r="Q46" s="183">
        <f>((O46*Q6*D46*0.5/100)*0.6)*0.5</f>
        <v>16560</v>
      </c>
      <c r="R46" s="183">
        <f>((O46*R6*E46*0.5/100)*0.6)*0.5</f>
        <v>29531.25</v>
      </c>
      <c r="S46" s="183">
        <f>((O46*S6*F46*0.5/100)*0.6)*0.5</f>
        <v>33626.25</v>
      </c>
      <c r="T46" s="183">
        <f>((O46*T6*G46*0.5/100)*0.6)*0.5</f>
        <v>41933.99999999999</v>
      </c>
      <c r="U46" s="183">
        <f>((O46*U6*H46*0.5/100)*0.6)*0.5</f>
        <v>46370.99999999999</v>
      </c>
      <c r="V46" s="183">
        <f>((O46*V6*I46*0.5/100)*0.6)*0.5</f>
        <v>55680</v>
      </c>
      <c r="W46" s="183">
        <f>((O46*W6*J46*0.5/100)*0.6)*0.5</f>
        <v>75033</v>
      </c>
      <c r="X46" s="183">
        <f>((O46*X6*K46*0.5/100)*0.6)*0.5</f>
        <v>90909</v>
      </c>
      <c r="Y46" s="183">
        <f>((O46*Y6*L46*0.5/100)*0.6)*0.5</f>
        <v>103761</v>
      </c>
      <c r="Z46" s="184">
        <f>((O46*Z6*M46*0.5/100)*0.6)*0.5</f>
        <v>123889.5</v>
      </c>
      <c r="AA46" s="162"/>
    </row>
    <row r="47" spans="1:27" ht="12.75" customHeight="1">
      <c r="A47" s="162"/>
      <c r="B47" s="169">
        <v>55000</v>
      </c>
      <c r="C47" s="170">
        <v>0.81</v>
      </c>
      <c r="D47" s="171">
        <v>0.91</v>
      </c>
      <c r="E47" s="171">
        <v>1</v>
      </c>
      <c r="F47" s="171">
        <v>1</v>
      </c>
      <c r="G47" s="171">
        <v>1.11</v>
      </c>
      <c r="H47" s="171">
        <v>1.11</v>
      </c>
      <c r="I47" s="171">
        <v>1.11</v>
      </c>
      <c r="J47" s="171">
        <v>1.2</v>
      </c>
      <c r="K47" s="171">
        <v>1.2</v>
      </c>
      <c r="L47" s="171">
        <v>1.2</v>
      </c>
      <c r="M47" s="172">
        <v>1.2</v>
      </c>
      <c r="O47" s="181">
        <v>55000</v>
      </c>
      <c r="P47" s="182">
        <f>((O47*P6*C47*0.5/100)*0.6)*0.5</f>
        <v>7016.625</v>
      </c>
      <c r="Q47" s="183">
        <f>((O47*Q6*D47*0.5/100)*0.6)*0.5</f>
        <v>17267.25</v>
      </c>
      <c r="R47" s="183">
        <f>((O47*R6*E47*0.5/100)*0.6)*0.5</f>
        <v>30937.5</v>
      </c>
      <c r="S47" s="183">
        <f>((O47*S6*F47*0.5/100)*0.6)*0.5</f>
        <v>35227.5</v>
      </c>
      <c r="T47" s="183">
        <f>((O47*T6*G47*0.5/100)*0.6)*0.5</f>
        <v>44139.15000000001</v>
      </c>
      <c r="U47" s="183">
        <f>((O47*U6*H47*0.5/100)*0.6)*0.5</f>
        <v>48809.475000000006</v>
      </c>
      <c r="V47" s="183">
        <f>((O47*V6*I47*0.5/100)*0.6)*0.5</f>
        <v>58608</v>
      </c>
      <c r="W47" s="183">
        <f>((O47*W6*J47*0.5/100)*0.6)*0.5</f>
        <v>78606</v>
      </c>
      <c r="X47" s="183">
        <f>((O47*X6*K47*0.5/100)*0.6)*0.5</f>
        <v>95238</v>
      </c>
      <c r="Y47" s="183">
        <f>((O47*Y6*L47*0.5/100)*0.6)*0.5</f>
        <v>108702</v>
      </c>
      <c r="Z47" s="184">
        <f>((O47*Z6*M47*0.5/100)*0.6)*0.5</f>
        <v>129789</v>
      </c>
      <c r="AA47" s="162"/>
    </row>
    <row r="48" spans="1:27" ht="12.75" customHeight="1">
      <c r="A48" s="162"/>
      <c r="B48" s="169">
        <v>60000</v>
      </c>
      <c r="C48" s="170">
        <v>0.77</v>
      </c>
      <c r="D48" s="171">
        <v>0.87</v>
      </c>
      <c r="E48" s="171">
        <v>0.96</v>
      </c>
      <c r="F48" s="171">
        <v>0.96</v>
      </c>
      <c r="G48" s="171">
        <v>1.06</v>
      </c>
      <c r="H48" s="171">
        <v>1.06</v>
      </c>
      <c r="I48" s="171">
        <v>1.06</v>
      </c>
      <c r="J48" s="171">
        <v>1.15</v>
      </c>
      <c r="K48" s="171">
        <v>1.15</v>
      </c>
      <c r="L48" s="171">
        <v>1.15</v>
      </c>
      <c r="M48" s="172">
        <v>1.15</v>
      </c>
      <c r="O48" s="181">
        <v>60000</v>
      </c>
      <c r="P48" s="182">
        <f>((O48*P6*C48*0.5/100)*0.6)*0.5</f>
        <v>7276.5</v>
      </c>
      <c r="Q48" s="183">
        <f>((O48*Q6*D48*0.5/100)*0.6)*0.5</f>
        <v>18009</v>
      </c>
      <c r="R48" s="183">
        <f>((O48*R6*E48*0.5/100)*0.6)*0.5</f>
        <v>32400</v>
      </c>
      <c r="S48" s="183">
        <f>((O48*S6*F48*0.5/100)*0.6)*0.5</f>
        <v>36892.799999999996</v>
      </c>
      <c r="T48" s="183">
        <f>((O48*T6*G48*0.5/100)*0.6)*0.5</f>
        <v>45982.799999999996</v>
      </c>
      <c r="U48" s="183">
        <f>((O48*U6*H48*0.5/100)*0.6)*0.5</f>
        <v>50848.2</v>
      </c>
      <c r="V48" s="183">
        <f>((O48*V6*I48*0.5/100)*0.6)*0.5</f>
        <v>61056</v>
      </c>
      <c r="W48" s="183">
        <f>((O48*W6*J48*0.5/100)*0.6)*0.5</f>
        <v>82178.99999999999</v>
      </c>
      <c r="X48" s="183">
        <f>((O48*X6*K48*0.5/100)*0.6)*0.5</f>
        <v>99566.99999999999</v>
      </c>
      <c r="Y48" s="183">
        <f>((O48*Y6*L48*0.5/100)*0.6)*0.5</f>
        <v>113643</v>
      </c>
      <c r="Z48" s="184">
        <f>((O48*Z6*M48*0.5/100)*0.6)*0.5</f>
        <v>135688.5</v>
      </c>
      <c r="AA48" s="162"/>
    </row>
    <row r="49" spans="1:27" ht="12.75" customHeight="1">
      <c r="A49" s="162"/>
      <c r="B49" s="169">
        <v>65000</v>
      </c>
      <c r="C49" s="170">
        <v>0.74</v>
      </c>
      <c r="D49" s="171">
        <v>0.84</v>
      </c>
      <c r="E49" s="171">
        <v>0.93</v>
      </c>
      <c r="F49" s="171">
        <v>0.93</v>
      </c>
      <c r="G49" s="171">
        <v>1.02</v>
      </c>
      <c r="H49" s="171">
        <v>1.02</v>
      </c>
      <c r="I49" s="171">
        <v>1.02</v>
      </c>
      <c r="J49" s="171">
        <v>1.11</v>
      </c>
      <c r="K49" s="171">
        <v>1.11</v>
      </c>
      <c r="L49" s="171">
        <v>1.11</v>
      </c>
      <c r="M49" s="172">
        <v>1.11</v>
      </c>
      <c r="O49" s="181">
        <v>65000</v>
      </c>
      <c r="P49" s="182">
        <f>((O49*P6*C49*0.5/100)*0.6)*0.5</f>
        <v>7575.75</v>
      </c>
      <c r="Q49" s="183">
        <f>((O49*Q6*D49*0.5/100)*0.6)*0.5</f>
        <v>18837</v>
      </c>
      <c r="R49" s="183">
        <f>((O49*R6*E49*0.5/100)*0.6)*0.5</f>
        <v>34003.125</v>
      </c>
      <c r="S49" s="183">
        <f>((O49*S6*F49*0.5/100)*0.6)*0.5</f>
        <v>38718.225</v>
      </c>
      <c r="T49" s="183">
        <f>((O49*T6*G49*0.5/100)*0.6)*0.5</f>
        <v>47934.9</v>
      </c>
      <c r="U49" s="183">
        <f>((O49*U6*H49*0.5/100)*0.6)*0.5</f>
        <v>53006.85</v>
      </c>
      <c r="V49" s="183">
        <f>((O49*V6*I49*0.5/100)*0.6)*0.5</f>
        <v>63648</v>
      </c>
      <c r="W49" s="183">
        <f>((O49*W6*J49*0.5/100)*0.6)*0.5</f>
        <v>85930.65000000001</v>
      </c>
      <c r="X49" s="183">
        <f>((O49*X6*K49*0.5/100)*0.6)*0.5</f>
        <v>104112.45</v>
      </c>
      <c r="Y49" s="183">
        <f>((O49*Y6*L49*0.5/100)*0.6)*0.5</f>
        <v>118831.04999999999</v>
      </c>
      <c r="Z49" s="184">
        <f>((O49*Z6*M49*0.5/100)*0.6)*0.5</f>
        <v>141882.975</v>
      </c>
      <c r="AA49" s="162"/>
    </row>
    <row r="50" spans="1:27" ht="12.75" customHeight="1">
      <c r="A50" s="162"/>
      <c r="B50" s="169">
        <v>70000</v>
      </c>
      <c r="C50" s="170">
        <v>0.72</v>
      </c>
      <c r="D50" s="171">
        <v>0.81</v>
      </c>
      <c r="E50" s="171">
        <v>0.89</v>
      </c>
      <c r="F50" s="171">
        <v>0.89</v>
      </c>
      <c r="G50" s="171">
        <v>0.98</v>
      </c>
      <c r="H50" s="171">
        <v>0.98</v>
      </c>
      <c r="I50" s="171">
        <v>0.98</v>
      </c>
      <c r="J50" s="171">
        <v>1.07</v>
      </c>
      <c r="K50" s="171">
        <v>1.07</v>
      </c>
      <c r="L50" s="171">
        <v>1.07</v>
      </c>
      <c r="M50" s="172">
        <v>1.07</v>
      </c>
      <c r="O50" s="181">
        <v>70000</v>
      </c>
      <c r="P50" s="182">
        <f>((O50*P6*C50*0.5/100)*0.6)*0.5</f>
        <v>7938</v>
      </c>
      <c r="Q50" s="183">
        <f>((O50*Q6*D50*0.5/100)*0.6)*0.5</f>
        <v>19561.5</v>
      </c>
      <c r="R50" s="183">
        <f>((O50*R6*E50*0.5/100)*0.6)*0.5</f>
        <v>35043.75</v>
      </c>
      <c r="S50" s="183">
        <f>((O50*S6*F50*0.5/100)*0.6)*0.5</f>
        <v>39903.15</v>
      </c>
      <c r="T50" s="183">
        <f>((O50*T6*G50*0.5/100)*0.6)*0.5</f>
        <v>49597.799999999996</v>
      </c>
      <c r="U50" s="183">
        <f>((O50*U6*H50*0.5/100)*0.6)*0.5</f>
        <v>54845.7</v>
      </c>
      <c r="V50" s="183">
        <f>((O50*V6*I50*0.5/100)*0.6)*0.5</f>
        <v>65856</v>
      </c>
      <c r="W50" s="183">
        <f>((O50*W6*J50*0.5/100)*0.6)*0.5</f>
        <v>89205.9</v>
      </c>
      <c r="X50" s="183">
        <f>((O50*X6*K50*0.5/100)*0.6)*0.5</f>
        <v>108080.7</v>
      </c>
      <c r="Y50" s="183">
        <f>((O50*Y6*L50*0.5/100)*0.6)*0.5</f>
        <v>123360.29999999999</v>
      </c>
      <c r="Z50" s="184">
        <f>((O50*Z6*M50*0.5/100)*0.6)*0.5</f>
        <v>147290.85</v>
      </c>
      <c r="AA50" s="162"/>
    </row>
    <row r="51" spans="1:27" ht="12.75" customHeight="1">
      <c r="A51" s="162"/>
      <c r="B51" s="169">
        <v>75000</v>
      </c>
      <c r="C51" s="170">
        <v>0.69</v>
      </c>
      <c r="D51" s="171">
        <v>0.78</v>
      </c>
      <c r="E51" s="171">
        <v>0.86</v>
      </c>
      <c r="F51" s="171">
        <v>0.86</v>
      </c>
      <c r="G51" s="171">
        <v>0.95</v>
      </c>
      <c r="H51" s="171">
        <v>0.95</v>
      </c>
      <c r="I51" s="171">
        <v>0.95</v>
      </c>
      <c r="J51" s="171">
        <v>1.03</v>
      </c>
      <c r="K51" s="171">
        <v>1.03</v>
      </c>
      <c r="L51" s="171">
        <v>1.03</v>
      </c>
      <c r="M51" s="172">
        <v>1.03</v>
      </c>
      <c r="O51" s="181">
        <v>75000</v>
      </c>
      <c r="P51" s="182">
        <f>((O51*P6*C51*0.5/100)*0.6)*0.5</f>
        <v>8150.625</v>
      </c>
      <c r="Q51" s="183">
        <f>((O51*Q6*D51*0.5/100)*0.6)*0.5</f>
        <v>20182.5</v>
      </c>
      <c r="R51" s="183">
        <f>((O51*R6*E51*0.5/100)*0.6)*0.5</f>
        <v>36281.25</v>
      </c>
      <c r="S51" s="183">
        <f>((O51*S6*F51*0.5/100)*0.6)*0.5</f>
        <v>41312.25</v>
      </c>
      <c r="T51" s="183">
        <f>((O51*T6*G51*0.5/100)*0.6)*0.5</f>
        <v>51513.75</v>
      </c>
      <c r="U51" s="183">
        <f>((O51*U6*H51*0.5/100)*0.6)*0.5</f>
        <v>56964.375</v>
      </c>
      <c r="V51" s="183">
        <f>((O51*V6*I51*0.5/100)*0.6)*0.5</f>
        <v>68400</v>
      </c>
      <c r="W51" s="183">
        <f>((O51*W6*J51*0.5/100)*0.6)*0.5</f>
        <v>92004.75</v>
      </c>
      <c r="X51" s="183">
        <f>((O51*X6*K51*0.5/100)*0.6)*0.5</f>
        <v>111471.75</v>
      </c>
      <c r="Y51" s="183">
        <f>((O51*Y6*L51*0.5/100)*0.6)*0.5</f>
        <v>127230.75</v>
      </c>
      <c r="Z51" s="184">
        <f>((O51*Z6*M51*0.5/100)*0.6)*0.5</f>
        <v>151912.125</v>
      </c>
      <c r="AA51" s="162"/>
    </row>
    <row r="52" spans="1:27" ht="12.75" customHeight="1" thickBot="1">
      <c r="A52" s="162"/>
      <c r="B52" s="173">
        <v>80000</v>
      </c>
      <c r="C52" s="174">
        <v>0.67</v>
      </c>
      <c r="D52" s="175">
        <v>0.75</v>
      </c>
      <c r="E52" s="175">
        <v>0.83</v>
      </c>
      <c r="F52" s="175">
        <v>0.83</v>
      </c>
      <c r="G52" s="175">
        <v>0.92</v>
      </c>
      <c r="H52" s="175">
        <v>0.92</v>
      </c>
      <c r="I52" s="175">
        <v>0.92</v>
      </c>
      <c r="J52" s="175">
        <v>1</v>
      </c>
      <c r="K52" s="175">
        <v>1</v>
      </c>
      <c r="L52" s="175">
        <v>1</v>
      </c>
      <c r="M52" s="176">
        <v>1</v>
      </c>
      <c r="O52" s="185">
        <v>80000</v>
      </c>
      <c r="P52" s="186">
        <f>((O52*P6*C52*0.5/100)*0.6)*0.5</f>
        <v>8442</v>
      </c>
      <c r="Q52" s="187">
        <f>((O52*Q6*D52*0.5/100)*0.6)*0.5</f>
        <v>20700</v>
      </c>
      <c r="R52" s="187">
        <f>((O52*R6*E52*0.5/100)*0.6)*0.5</f>
        <v>37350</v>
      </c>
      <c r="S52" s="187">
        <f>((O52*S6*F52*0.5/100)*0.6)*0.5</f>
        <v>42529.2</v>
      </c>
      <c r="T52" s="187">
        <f>((O52*T6*G52*0.5/100)*0.6)*0.5</f>
        <v>53212.799999999996</v>
      </c>
      <c r="U52" s="187">
        <f>((O52*U6*H52*0.5/100)*0.6)*0.5</f>
        <v>58843.2</v>
      </c>
      <c r="V52" s="187">
        <f>((O52*V6*I52*0.5/100)*0.6)*0.5</f>
        <v>70656</v>
      </c>
      <c r="W52" s="187">
        <f>((O52*W6*J52*0.5/100)*0.6)*0.5</f>
        <v>95280</v>
      </c>
      <c r="X52" s="187">
        <f>((O52*X6*K52*0.5/100)*0.6)*0.5</f>
        <v>115440</v>
      </c>
      <c r="Y52" s="187">
        <f>((O52*Y6*L52*0.5/100)*0.6)*0.5</f>
        <v>131760</v>
      </c>
      <c r="Z52" s="188">
        <f>((O52*Z6*M52*0.5/100)*0.6)*0.5</f>
        <v>157320</v>
      </c>
      <c r="AA52" s="162"/>
    </row>
    <row r="53" spans="1:27" ht="12.75" customHeight="1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</row>
    <row r="54" spans="1:27" ht="12.75" customHeight="1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94"/>
      <c r="M54" s="194"/>
      <c r="N54" s="195"/>
      <c r="O54" s="408" t="s">
        <v>122</v>
      </c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08"/>
      <c r="AA54" s="162"/>
    </row>
    <row r="55" spans="1:27" ht="12.75" customHeight="1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</row>
    <row r="56" spans="1:27" ht="12.75" customHeight="1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94"/>
      <c r="M56" s="194"/>
      <c r="N56" s="195"/>
      <c r="O56" s="402" t="s">
        <v>135</v>
      </c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03"/>
      <c r="AA56" s="162"/>
    </row>
    <row r="57" spans="1:27" ht="12.75" customHeight="1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94"/>
      <c r="M57" s="194"/>
      <c r="N57" s="195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03"/>
      <c r="AA57" s="162"/>
    </row>
    <row r="58" spans="1:27" ht="12.75" customHeight="1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</row>
  </sheetData>
  <sheetProtection password="D91B" sheet="1" objects="1" scenarios="1"/>
  <mergeCells count="5">
    <mergeCell ref="O56:Z57"/>
    <mergeCell ref="O1:Z1"/>
    <mergeCell ref="O2:Z2"/>
    <mergeCell ref="O4:Z4"/>
    <mergeCell ref="O54:Z54"/>
  </mergeCells>
  <printOptions/>
  <pageMargins left="0" right="0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3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 customHeight="1" zeroHeight="1"/>
  <cols>
    <col min="1" max="1" width="2.7109375" style="2" customWidth="1"/>
    <col min="2" max="15" width="6.7109375" style="2" customWidth="1"/>
    <col min="16" max="16" width="2.7109375" style="2" customWidth="1"/>
    <col min="17" max="16384" width="0" style="2" hidden="1" customWidth="1"/>
  </cols>
  <sheetData>
    <row r="1" spans="1:1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1"/>
      <c r="B2" s="1"/>
      <c r="C2" s="1"/>
      <c r="D2" s="265" t="s">
        <v>89</v>
      </c>
      <c r="E2" s="265" t="s">
        <v>100</v>
      </c>
      <c r="F2" s="265" t="s">
        <v>101</v>
      </c>
      <c r="G2" s="265" t="s">
        <v>102</v>
      </c>
      <c r="H2" s="265" t="s">
        <v>103</v>
      </c>
      <c r="I2" s="265" t="s">
        <v>104</v>
      </c>
      <c r="J2" s="265" t="s">
        <v>105</v>
      </c>
      <c r="K2" s="265" t="s">
        <v>106</v>
      </c>
      <c r="L2" s="265" t="s">
        <v>107</v>
      </c>
      <c r="M2" s="265" t="s">
        <v>108</v>
      </c>
      <c r="N2" s="265" t="s">
        <v>109</v>
      </c>
      <c r="O2" s="1"/>
      <c r="P2" s="1"/>
    </row>
    <row r="3" spans="1:1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85"/>
    </row>
    <row r="4" spans="1:16" ht="12.75" customHeight="1">
      <c r="A4" s="1"/>
      <c r="B4" s="1"/>
      <c r="C4" s="161" t="s">
        <v>138</v>
      </c>
      <c r="D4" s="1"/>
      <c r="E4" s="1"/>
      <c r="F4" s="1"/>
      <c r="G4" s="1"/>
      <c r="H4" s="3"/>
      <c r="I4" s="3"/>
      <c r="J4" s="1"/>
      <c r="K4" s="1"/>
      <c r="L4" s="1"/>
      <c r="M4" s="1"/>
      <c r="N4" s="1"/>
      <c r="O4" s="1"/>
      <c r="P4" s="85"/>
    </row>
    <row r="5" spans="1:16" ht="12.75" customHeight="1" thickBot="1">
      <c r="A5" s="1"/>
      <c r="B5" s="1"/>
      <c r="C5" s="1"/>
      <c r="D5" s="1"/>
      <c r="E5" s="1"/>
      <c r="F5" s="1"/>
      <c r="G5" s="1"/>
      <c r="H5" s="4" t="str">
        <f ca="1">IF(TODAY()&lt;=DATE(VALUE(TEXT(TODAY(),"yyyy")),6,30),"[01/01/"&amp;TEXT(TODAY(),"yyyy")&amp;"  -","[01/07/"&amp;TEXT(TODAY(),"yyyy")&amp;"  -")</f>
        <v>[01/07/2008  -</v>
      </c>
      <c r="I5" s="5" t="str">
        <f ca="1">IF(TODAY()&lt;=DATE(VALUE(TEXT(TODAY(),"yyyy")),6,30),"30/06"&amp;TEXT(TODAY(),"yyyy")&amp;"]","31/12/"&amp;TEXT(TODAY(),"yyyy")&amp;"]")</f>
        <v>31/12/2008]</v>
      </c>
      <c r="J5" s="1"/>
      <c r="K5" s="1"/>
      <c r="L5" s="1"/>
      <c r="M5" s="1"/>
      <c r="N5" s="1"/>
      <c r="O5" s="1"/>
      <c r="P5" s="85"/>
    </row>
    <row r="6" spans="1:16" ht="12.75" customHeight="1" thickBot="1">
      <c r="A6" s="1"/>
      <c r="B6" s="1"/>
      <c r="C6" s="6" t="s">
        <v>129</v>
      </c>
      <c r="D6" s="7"/>
      <c r="E6" s="8"/>
      <c r="F6" s="8"/>
      <c r="G6" s="8"/>
      <c r="H6" s="7"/>
      <c r="I6" s="9"/>
      <c r="J6" s="8"/>
      <c r="K6" s="8"/>
      <c r="L6" s="8"/>
      <c r="M6" s="8"/>
      <c r="N6" s="10"/>
      <c r="O6" s="1"/>
      <c r="P6" s="82"/>
    </row>
    <row r="7" spans="1:16" ht="12.75" customHeight="1">
      <c r="A7" s="1"/>
      <c r="B7" s="1"/>
      <c r="C7" s="86" t="s">
        <v>46</v>
      </c>
      <c r="D7" s="48" t="s">
        <v>0</v>
      </c>
      <c r="E7" s="46" t="s">
        <v>1</v>
      </c>
      <c r="F7" s="46" t="s">
        <v>2</v>
      </c>
      <c r="G7" s="46" t="s">
        <v>3</v>
      </c>
      <c r="H7" s="46" t="s">
        <v>4</v>
      </c>
      <c r="I7" s="46" t="s">
        <v>5</v>
      </c>
      <c r="J7" s="46" t="s">
        <v>6</v>
      </c>
      <c r="K7" s="46" t="s">
        <v>7</v>
      </c>
      <c r="L7" s="46" t="s">
        <v>8</v>
      </c>
      <c r="M7" s="46" t="s">
        <v>9</v>
      </c>
      <c r="N7" s="47" t="s">
        <v>10</v>
      </c>
      <c r="O7" s="1"/>
      <c r="P7" s="85"/>
    </row>
    <row r="8" spans="1:16" ht="12.75" customHeight="1" thickBot="1">
      <c r="A8" s="1"/>
      <c r="B8" s="1"/>
      <c r="C8" s="87" t="s">
        <v>47</v>
      </c>
      <c r="D8" s="11" t="s">
        <v>14</v>
      </c>
      <c r="E8" s="12" t="str">
        <f>D8</f>
        <v>[YTL]</v>
      </c>
      <c r="F8" s="12" t="str">
        <f>D8</f>
        <v>[YTL]</v>
      </c>
      <c r="G8" s="12" t="str">
        <f>D8</f>
        <v>[YTL]</v>
      </c>
      <c r="H8" s="12" t="str">
        <f>D8</f>
        <v>[YTL]</v>
      </c>
      <c r="I8" s="12" t="str">
        <f>D8</f>
        <v>[YTL]</v>
      </c>
      <c r="J8" s="12" t="str">
        <f>D8</f>
        <v>[YTL]</v>
      </c>
      <c r="K8" s="12" t="str">
        <f>D8</f>
        <v>[YTL]</v>
      </c>
      <c r="L8" s="12" t="str">
        <f>D8</f>
        <v>[YTL]</v>
      </c>
      <c r="M8" s="12" t="str">
        <f>D8</f>
        <v>[YTL]</v>
      </c>
      <c r="N8" s="13" t="str">
        <f>D8</f>
        <v>[YTL]</v>
      </c>
      <c r="O8" s="1"/>
      <c r="P8" s="85"/>
    </row>
    <row r="9" spans="1:16" ht="12.75" customHeight="1" hidden="1" thickBot="1">
      <c r="A9" s="265" t="s">
        <v>88</v>
      </c>
      <c r="B9" s="265" t="s">
        <v>40</v>
      </c>
      <c r="C9" s="37" t="s">
        <v>24</v>
      </c>
      <c r="D9" s="38">
        <v>1</v>
      </c>
      <c r="E9" s="39">
        <v>2</v>
      </c>
      <c r="F9" s="39" t="s">
        <v>15</v>
      </c>
      <c r="G9" s="39" t="s">
        <v>16</v>
      </c>
      <c r="H9" s="39" t="s">
        <v>17</v>
      </c>
      <c r="I9" s="39" t="s">
        <v>18</v>
      </c>
      <c r="J9" s="39" t="s">
        <v>19</v>
      </c>
      <c r="K9" s="39" t="s">
        <v>20</v>
      </c>
      <c r="L9" s="39" t="s">
        <v>21</v>
      </c>
      <c r="M9" s="39" t="s">
        <v>22</v>
      </c>
      <c r="N9" s="40" t="s">
        <v>23</v>
      </c>
      <c r="O9" s="1"/>
      <c r="P9" s="85"/>
    </row>
    <row r="10" spans="1:16" ht="12.75" customHeight="1">
      <c r="A10" s="1"/>
      <c r="B10" s="265" t="s">
        <v>39</v>
      </c>
      <c r="C10" s="90">
        <v>250</v>
      </c>
      <c r="D10" s="27">
        <v>184</v>
      </c>
      <c r="E10" s="14">
        <v>453</v>
      </c>
      <c r="F10" s="14">
        <v>821</v>
      </c>
      <c r="G10" s="14">
        <v>937</v>
      </c>
      <c r="H10" s="14">
        <v>1318</v>
      </c>
      <c r="I10" s="14">
        <v>1459</v>
      </c>
      <c r="J10" s="14">
        <v>1752</v>
      </c>
      <c r="K10" s="14">
        <v>2097</v>
      </c>
      <c r="L10" s="14">
        <v>2541</v>
      </c>
      <c r="M10" s="14">
        <v>2898</v>
      </c>
      <c r="N10" s="15">
        <v>3460</v>
      </c>
      <c r="O10" s="1"/>
      <c r="P10" s="85"/>
    </row>
    <row r="11" spans="1:16" ht="12.75" customHeight="1">
      <c r="A11" s="1"/>
      <c r="B11" s="1"/>
      <c r="C11" s="91">
        <v>300</v>
      </c>
      <c r="D11" s="28">
        <v>216</v>
      </c>
      <c r="E11" s="19">
        <v>534</v>
      </c>
      <c r="F11" s="19">
        <v>970</v>
      </c>
      <c r="G11" s="19">
        <v>1106</v>
      </c>
      <c r="H11" s="19">
        <v>1376</v>
      </c>
      <c r="I11" s="19">
        <v>1523</v>
      </c>
      <c r="J11" s="19">
        <v>1829</v>
      </c>
      <c r="K11" s="19">
        <v>2482</v>
      </c>
      <c r="L11" s="19">
        <v>3007</v>
      </c>
      <c r="M11" s="19">
        <v>3430</v>
      </c>
      <c r="N11" s="20">
        <v>4096</v>
      </c>
      <c r="O11" s="1"/>
      <c r="P11" s="85"/>
    </row>
    <row r="12" spans="1:16" ht="12.75" customHeight="1">
      <c r="A12" s="1"/>
      <c r="B12" s="1"/>
      <c r="C12" s="92">
        <v>400</v>
      </c>
      <c r="D12" s="29">
        <v>276</v>
      </c>
      <c r="E12" s="16">
        <v>685</v>
      </c>
      <c r="F12" s="16">
        <v>1250</v>
      </c>
      <c r="G12" s="16">
        <v>1425</v>
      </c>
      <c r="H12" s="16">
        <v>1779</v>
      </c>
      <c r="I12" s="16">
        <v>1970</v>
      </c>
      <c r="J12" s="16">
        <v>2365</v>
      </c>
      <c r="K12" s="16">
        <v>3218</v>
      </c>
      <c r="L12" s="16">
        <v>3899</v>
      </c>
      <c r="M12" s="16">
        <v>4447</v>
      </c>
      <c r="N12" s="17">
        <v>5310</v>
      </c>
      <c r="O12" s="1"/>
      <c r="P12" s="85"/>
    </row>
    <row r="13" spans="1:16" ht="12.75" customHeight="1">
      <c r="A13" s="1"/>
      <c r="B13" s="1"/>
      <c r="C13" s="91">
        <v>500</v>
      </c>
      <c r="D13" s="28">
        <v>329</v>
      </c>
      <c r="E13" s="19">
        <v>823</v>
      </c>
      <c r="F13" s="19">
        <v>1508</v>
      </c>
      <c r="G13" s="19">
        <v>1720</v>
      </c>
      <c r="H13" s="19">
        <v>2155</v>
      </c>
      <c r="I13" s="19">
        <v>2386</v>
      </c>
      <c r="J13" s="19">
        <v>2864</v>
      </c>
      <c r="K13" s="19">
        <v>3909</v>
      </c>
      <c r="L13" s="19">
        <v>4736</v>
      </c>
      <c r="M13" s="19">
        <v>5401</v>
      </c>
      <c r="N13" s="20">
        <v>6450</v>
      </c>
      <c r="O13" s="1"/>
      <c r="P13" s="85"/>
    </row>
    <row r="14" spans="1:16" ht="12.75" customHeight="1">
      <c r="A14" s="1"/>
      <c r="B14" s="1"/>
      <c r="C14" s="92">
        <v>600</v>
      </c>
      <c r="D14" s="29">
        <v>377</v>
      </c>
      <c r="E14" s="16">
        <v>948</v>
      </c>
      <c r="F14" s="16">
        <v>1745</v>
      </c>
      <c r="G14" s="16">
        <v>1990</v>
      </c>
      <c r="H14" s="16">
        <v>2502</v>
      </c>
      <c r="I14" s="16">
        <v>2771</v>
      </c>
      <c r="J14" s="16">
        <v>3327</v>
      </c>
      <c r="K14" s="16">
        <v>4553</v>
      </c>
      <c r="L14" s="16">
        <v>5517</v>
      </c>
      <c r="M14" s="16">
        <v>6292</v>
      </c>
      <c r="N14" s="17">
        <v>7513</v>
      </c>
      <c r="O14" s="1"/>
      <c r="P14" s="1"/>
    </row>
    <row r="15" spans="1:16" ht="12.75" customHeight="1">
      <c r="A15" s="1"/>
      <c r="B15" s="1"/>
      <c r="C15" s="91">
        <v>700</v>
      </c>
      <c r="D15" s="28">
        <v>419</v>
      </c>
      <c r="E15" s="19">
        <v>1060</v>
      </c>
      <c r="F15" s="19">
        <v>1961</v>
      </c>
      <c r="G15" s="19">
        <v>2236</v>
      </c>
      <c r="H15" s="19">
        <v>2823</v>
      </c>
      <c r="I15" s="19">
        <v>3125</v>
      </c>
      <c r="J15" s="19">
        <v>3752</v>
      </c>
      <c r="K15" s="19">
        <v>5152</v>
      </c>
      <c r="L15" s="19">
        <v>6242</v>
      </c>
      <c r="M15" s="19">
        <v>7119</v>
      </c>
      <c r="N15" s="20">
        <v>8502</v>
      </c>
      <c r="O15" s="1"/>
      <c r="P15" s="1"/>
    </row>
    <row r="16" spans="1:16" ht="12.75" customHeight="1">
      <c r="A16" s="1"/>
      <c r="B16" s="1"/>
      <c r="C16" s="92">
        <v>800</v>
      </c>
      <c r="D16" s="29">
        <v>454</v>
      </c>
      <c r="E16" s="16">
        <v>1158</v>
      </c>
      <c r="F16" s="16">
        <v>2155</v>
      </c>
      <c r="G16" s="16">
        <v>2457</v>
      </c>
      <c r="H16" s="16">
        <v>3115</v>
      </c>
      <c r="I16" s="16">
        <v>3449</v>
      </c>
      <c r="J16" s="16">
        <v>4141</v>
      </c>
      <c r="K16" s="16">
        <v>5705</v>
      </c>
      <c r="L16" s="16">
        <v>6913</v>
      </c>
      <c r="M16" s="16">
        <v>7884</v>
      </c>
      <c r="N16" s="17">
        <v>9415</v>
      </c>
      <c r="O16" s="1"/>
      <c r="P16" s="1"/>
    </row>
    <row r="17" spans="1:16" ht="12.75" customHeight="1">
      <c r="A17" s="1"/>
      <c r="B17" s="1"/>
      <c r="C17" s="91">
        <v>900</v>
      </c>
      <c r="D17" s="28">
        <v>484</v>
      </c>
      <c r="E17" s="19">
        <v>1244</v>
      </c>
      <c r="F17" s="19">
        <v>2327</v>
      </c>
      <c r="G17" s="19">
        <v>2654</v>
      </c>
      <c r="H17" s="19">
        <v>3380</v>
      </c>
      <c r="I17" s="19">
        <v>3742</v>
      </c>
      <c r="J17" s="19">
        <v>4493</v>
      </c>
      <c r="K17" s="19">
        <v>6213</v>
      </c>
      <c r="L17" s="19">
        <v>7528</v>
      </c>
      <c r="M17" s="19">
        <v>8585</v>
      </c>
      <c r="N17" s="20">
        <v>10252</v>
      </c>
      <c r="O17" s="1"/>
      <c r="P17" s="1"/>
    </row>
    <row r="18" spans="1:16" ht="12.75" customHeight="1">
      <c r="A18" s="1"/>
      <c r="B18" s="1"/>
      <c r="C18" s="92">
        <v>1000</v>
      </c>
      <c r="D18" s="29">
        <v>507</v>
      </c>
      <c r="E18" s="16">
        <v>1316</v>
      </c>
      <c r="F18" s="16">
        <v>2478</v>
      </c>
      <c r="G18" s="16">
        <v>2826</v>
      </c>
      <c r="H18" s="16">
        <v>3617</v>
      </c>
      <c r="I18" s="16">
        <v>4004</v>
      </c>
      <c r="J18" s="16">
        <v>4808</v>
      </c>
      <c r="K18" s="16">
        <v>6675</v>
      </c>
      <c r="L18" s="16">
        <v>8087</v>
      </c>
      <c r="M18" s="16">
        <v>9223</v>
      </c>
      <c r="N18" s="17">
        <v>11014</v>
      </c>
      <c r="O18" s="1"/>
      <c r="P18" s="1"/>
    </row>
    <row r="19" spans="1:16" ht="12.75" customHeight="1">
      <c r="A19" s="1"/>
      <c r="B19" s="1"/>
      <c r="C19" s="91">
        <v>1500</v>
      </c>
      <c r="D19" s="28">
        <v>711</v>
      </c>
      <c r="E19" s="19">
        <v>1841</v>
      </c>
      <c r="F19" s="19">
        <v>3456</v>
      </c>
      <c r="G19" s="19">
        <v>3941</v>
      </c>
      <c r="H19" s="19">
        <v>5044</v>
      </c>
      <c r="I19" s="19">
        <v>5585</v>
      </c>
      <c r="J19" s="19">
        <v>6706</v>
      </c>
      <c r="K19" s="19">
        <v>9289</v>
      </c>
      <c r="L19" s="19">
        <v>11255</v>
      </c>
      <c r="M19" s="19">
        <v>12836</v>
      </c>
      <c r="N19" s="20">
        <v>15328</v>
      </c>
      <c r="O19" s="1"/>
      <c r="P19" s="1"/>
    </row>
    <row r="20" spans="1:16" ht="12.75" customHeight="1">
      <c r="A20" s="1"/>
      <c r="B20" s="1"/>
      <c r="C20" s="92">
        <v>2000</v>
      </c>
      <c r="D20" s="29">
        <v>880</v>
      </c>
      <c r="E20" s="16">
        <v>2271</v>
      </c>
      <c r="F20" s="16">
        <v>4261</v>
      </c>
      <c r="G20" s="16">
        <v>4859</v>
      </c>
      <c r="H20" s="16">
        <v>6218</v>
      </c>
      <c r="I20" s="16">
        <v>6884</v>
      </c>
      <c r="J20" s="16">
        <v>8266</v>
      </c>
      <c r="K20" s="16">
        <v>11421</v>
      </c>
      <c r="L20" s="16">
        <v>13838</v>
      </c>
      <c r="M20" s="16">
        <v>15782</v>
      </c>
      <c r="N20" s="17">
        <v>18846</v>
      </c>
      <c r="O20" s="1"/>
      <c r="P20" s="1"/>
    </row>
    <row r="21" spans="1:16" ht="12.75" customHeight="1">
      <c r="A21" s="1"/>
      <c r="B21" s="1"/>
      <c r="C21" s="91">
        <v>2500</v>
      </c>
      <c r="D21" s="28">
        <v>1016</v>
      </c>
      <c r="E21" s="19">
        <v>2609</v>
      </c>
      <c r="F21" s="19">
        <v>4893</v>
      </c>
      <c r="G21" s="19">
        <v>5579</v>
      </c>
      <c r="H21" s="19">
        <v>7118</v>
      </c>
      <c r="I21" s="19">
        <v>7881</v>
      </c>
      <c r="J21" s="19">
        <v>9463</v>
      </c>
      <c r="K21" s="19">
        <v>13071</v>
      </c>
      <c r="L21" s="19">
        <v>15836</v>
      </c>
      <c r="M21" s="19">
        <v>18061</v>
      </c>
      <c r="N21" s="20">
        <v>21568</v>
      </c>
      <c r="O21" s="1"/>
      <c r="P21" s="1"/>
    </row>
    <row r="22" spans="1:16" ht="12.75" customHeight="1">
      <c r="A22" s="1"/>
      <c r="B22" s="1"/>
      <c r="C22" s="92">
        <v>3000</v>
      </c>
      <c r="D22" s="29">
        <v>1174</v>
      </c>
      <c r="E22" s="16">
        <v>3021</v>
      </c>
      <c r="F22" s="16">
        <v>5638</v>
      </c>
      <c r="G22" s="16">
        <v>6429</v>
      </c>
      <c r="H22" s="16">
        <v>8195</v>
      </c>
      <c r="I22" s="16">
        <v>9074</v>
      </c>
      <c r="J22" s="16">
        <v>10895</v>
      </c>
      <c r="K22" s="16">
        <v>15038</v>
      </c>
      <c r="L22" s="16">
        <v>18219</v>
      </c>
      <c r="M22" s="16">
        <v>20779</v>
      </c>
      <c r="N22" s="17">
        <v>24814</v>
      </c>
      <c r="O22" s="1"/>
      <c r="P22" s="1"/>
    </row>
    <row r="23" spans="1:16" ht="12.75" customHeight="1">
      <c r="A23" s="1"/>
      <c r="B23" s="1"/>
      <c r="C23" s="91">
        <v>3500</v>
      </c>
      <c r="D23" s="28">
        <v>1323</v>
      </c>
      <c r="E23" s="19">
        <v>3383</v>
      </c>
      <c r="F23" s="19">
        <v>6305</v>
      </c>
      <c r="G23" s="19">
        <v>7190</v>
      </c>
      <c r="H23" s="19">
        <v>9157</v>
      </c>
      <c r="I23" s="19">
        <v>10139</v>
      </c>
      <c r="J23" s="19">
        <v>12174</v>
      </c>
      <c r="K23" s="19">
        <v>16744</v>
      </c>
      <c r="L23" s="19">
        <v>20287</v>
      </c>
      <c r="M23" s="19">
        <v>23137</v>
      </c>
      <c r="N23" s="20">
        <v>27630</v>
      </c>
      <c r="O23" s="1"/>
      <c r="P23" s="1"/>
    </row>
    <row r="24" spans="1:16" ht="12.75" customHeight="1">
      <c r="A24" s="1"/>
      <c r="B24" s="1"/>
      <c r="C24" s="92">
        <v>4000</v>
      </c>
      <c r="D24" s="29">
        <v>1452</v>
      </c>
      <c r="E24" s="16">
        <v>3719</v>
      </c>
      <c r="F24" s="16">
        <v>6895</v>
      </c>
      <c r="G24" s="16">
        <v>7862</v>
      </c>
      <c r="H24" s="16">
        <v>9973</v>
      </c>
      <c r="I24" s="16">
        <v>11042</v>
      </c>
      <c r="J24" s="16">
        <v>13258</v>
      </c>
      <c r="K24" s="16">
        <v>18274</v>
      </c>
      <c r="L24" s="16">
        <v>22140</v>
      </c>
      <c r="M24" s="16">
        <v>25250</v>
      </c>
      <c r="N24" s="17">
        <v>30154</v>
      </c>
      <c r="O24" s="1"/>
      <c r="P24" s="1"/>
    </row>
    <row r="25" spans="1:16" ht="12.75" customHeight="1">
      <c r="A25" s="1"/>
      <c r="B25" s="1"/>
      <c r="C25" s="91">
        <v>4500</v>
      </c>
      <c r="D25" s="28">
        <v>1580</v>
      </c>
      <c r="E25" s="19">
        <v>4002</v>
      </c>
      <c r="F25" s="19">
        <v>7406</v>
      </c>
      <c r="G25" s="19">
        <v>8446</v>
      </c>
      <c r="H25" s="19">
        <v>10700</v>
      </c>
      <c r="I25" s="19">
        <v>11847</v>
      </c>
      <c r="J25" s="19">
        <v>14225</v>
      </c>
      <c r="K25" s="19">
        <v>19530</v>
      </c>
      <c r="L25" s="19">
        <v>23662</v>
      </c>
      <c r="M25" s="19">
        <v>26986</v>
      </c>
      <c r="N25" s="20">
        <v>32227</v>
      </c>
      <c r="O25" s="1"/>
      <c r="P25" s="1"/>
    </row>
    <row r="26" spans="1:16" ht="12.75" customHeight="1">
      <c r="A26" s="1"/>
      <c r="B26" s="1"/>
      <c r="C26" s="92">
        <v>5000</v>
      </c>
      <c r="D26" s="29">
        <v>1680</v>
      </c>
      <c r="E26" s="16">
        <v>4245</v>
      </c>
      <c r="F26" s="16">
        <v>7840</v>
      </c>
      <c r="G26" s="16">
        <v>8941</v>
      </c>
      <c r="H26" s="16">
        <v>11273</v>
      </c>
      <c r="I26" s="16">
        <v>12482</v>
      </c>
      <c r="J26" s="16">
        <v>14987</v>
      </c>
      <c r="K26" s="16">
        <v>20558</v>
      </c>
      <c r="L26" s="16">
        <v>24908</v>
      </c>
      <c r="M26" s="16">
        <v>28407</v>
      </c>
      <c r="N26" s="17">
        <v>33923</v>
      </c>
      <c r="O26" s="1"/>
      <c r="P26" s="1"/>
    </row>
    <row r="27" spans="1:16" ht="12.75" customHeight="1">
      <c r="A27" s="1"/>
      <c r="B27" s="1"/>
      <c r="C27" s="91">
        <v>6000</v>
      </c>
      <c r="D27" s="28">
        <v>1935</v>
      </c>
      <c r="E27" s="19">
        <v>4873</v>
      </c>
      <c r="F27" s="19">
        <v>8978</v>
      </c>
      <c r="G27" s="19">
        <v>10238</v>
      </c>
      <c r="H27" s="19">
        <v>12881</v>
      </c>
      <c r="I27" s="19">
        <v>14262</v>
      </c>
      <c r="J27" s="19">
        <v>17125</v>
      </c>
      <c r="K27" s="19">
        <v>23451</v>
      </c>
      <c r="L27" s="19">
        <v>28413</v>
      </c>
      <c r="M27" s="19">
        <v>32405</v>
      </c>
      <c r="N27" s="20">
        <v>38697</v>
      </c>
      <c r="O27" s="1"/>
      <c r="P27" s="1"/>
    </row>
    <row r="28" spans="1:16" ht="12.75" customHeight="1">
      <c r="A28" s="1"/>
      <c r="B28" s="1"/>
      <c r="C28" s="92">
        <v>7000</v>
      </c>
      <c r="D28" s="29">
        <v>2164</v>
      </c>
      <c r="E28" s="16">
        <v>5428</v>
      </c>
      <c r="F28" s="16">
        <v>9971</v>
      </c>
      <c r="G28" s="16">
        <v>11370</v>
      </c>
      <c r="H28" s="16">
        <v>14328</v>
      </c>
      <c r="I28" s="16">
        <v>15864</v>
      </c>
      <c r="J28" s="16">
        <v>19048</v>
      </c>
      <c r="K28" s="16">
        <v>25938</v>
      </c>
      <c r="L28" s="16">
        <v>31427</v>
      </c>
      <c r="M28" s="16">
        <v>35842</v>
      </c>
      <c r="N28" s="17">
        <v>42801</v>
      </c>
      <c r="O28" s="1"/>
      <c r="P28" s="1"/>
    </row>
    <row r="29" spans="1:16" ht="12.75" customHeight="1">
      <c r="A29" s="1"/>
      <c r="B29" s="1"/>
      <c r="C29" s="91">
        <v>8000</v>
      </c>
      <c r="D29" s="28">
        <v>2379</v>
      </c>
      <c r="E29" s="19">
        <v>5968</v>
      </c>
      <c r="F29" s="19">
        <v>10917</v>
      </c>
      <c r="G29" s="19">
        <v>12449</v>
      </c>
      <c r="H29" s="19">
        <v>15636</v>
      </c>
      <c r="I29" s="19">
        <v>17313</v>
      </c>
      <c r="J29" s="19">
        <v>20787</v>
      </c>
      <c r="K29" s="19">
        <v>28324</v>
      </c>
      <c r="L29" s="19">
        <v>34317</v>
      </c>
      <c r="M29" s="19">
        <v>39138</v>
      </c>
      <c r="N29" s="20">
        <v>46738</v>
      </c>
      <c r="O29" s="1"/>
      <c r="P29" s="1"/>
    </row>
    <row r="30" spans="1:16" ht="12.75" customHeight="1">
      <c r="A30" s="1"/>
      <c r="B30" s="1"/>
      <c r="C30" s="92">
        <v>9000</v>
      </c>
      <c r="D30" s="29">
        <v>2616</v>
      </c>
      <c r="E30" s="16">
        <v>6516</v>
      </c>
      <c r="F30" s="16">
        <v>11904</v>
      </c>
      <c r="G30" s="16">
        <v>13575</v>
      </c>
      <c r="H30" s="16">
        <v>17037</v>
      </c>
      <c r="I30" s="16">
        <v>18863</v>
      </c>
      <c r="J30" s="16">
        <v>22649</v>
      </c>
      <c r="K30" s="16">
        <v>30837</v>
      </c>
      <c r="L30" s="16">
        <v>37361</v>
      </c>
      <c r="M30" s="16">
        <v>42610</v>
      </c>
      <c r="N30" s="17">
        <v>50884</v>
      </c>
      <c r="O30" s="1"/>
      <c r="P30" s="1"/>
    </row>
    <row r="31" spans="1:16" ht="12.75" customHeight="1">
      <c r="A31" s="1"/>
      <c r="B31" s="1"/>
      <c r="C31" s="91">
        <v>10000</v>
      </c>
      <c r="D31" s="28">
        <v>2839</v>
      </c>
      <c r="E31" s="19">
        <v>7019</v>
      </c>
      <c r="F31" s="19">
        <v>12868</v>
      </c>
      <c r="G31" s="19">
        <v>14674</v>
      </c>
      <c r="H31" s="19">
        <v>17929</v>
      </c>
      <c r="I31" s="19">
        <v>19852</v>
      </c>
      <c r="J31" s="19">
        <v>23836</v>
      </c>
      <c r="K31" s="19">
        <v>33121</v>
      </c>
      <c r="L31" s="19">
        <v>40129</v>
      </c>
      <c r="M31" s="19">
        <v>45766</v>
      </c>
      <c r="N31" s="20">
        <v>54653</v>
      </c>
      <c r="O31" s="1"/>
      <c r="P31" s="1"/>
    </row>
    <row r="32" spans="1:16" ht="12.75" customHeight="1">
      <c r="A32" s="1"/>
      <c r="B32" s="1"/>
      <c r="C32" s="92">
        <v>12500</v>
      </c>
      <c r="D32" s="29">
        <v>3297</v>
      </c>
      <c r="E32" s="16">
        <v>8223</v>
      </c>
      <c r="F32" s="16">
        <v>14963</v>
      </c>
      <c r="G32" s="16">
        <v>17063</v>
      </c>
      <c r="H32" s="16">
        <v>21257</v>
      </c>
      <c r="I32" s="16">
        <v>23537</v>
      </c>
      <c r="J32" s="16">
        <v>28260</v>
      </c>
      <c r="K32" s="16">
        <v>38387</v>
      </c>
      <c r="L32" s="16">
        <v>46509</v>
      </c>
      <c r="M32" s="16">
        <v>53043</v>
      </c>
      <c r="N32" s="17">
        <v>63344</v>
      </c>
      <c r="O32" s="1"/>
      <c r="P32" s="1"/>
    </row>
    <row r="33" spans="1:16" ht="12.75" customHeight="1">
      <c r="A33" s="1"/>
      <c r="B33" s="1"/>
      <c r="C33" s="91">
        <v>15000</v>
      </c>
      <c r="D33" s="28">
        <v>3755</v>
      </c>
      <c r="E33" s="19">
        <v>9261</v>
      </c>
      <c r="F33" s="19">
        <v>16788</v>
      </c>
      <c r="G33" s="19">
        <v>19144</v>
      </c>
      <c r="H33" s="19">
        <v>23893</v>
      </c>
      <c r="I33" s="19">
        <v>26455</v>
      </c>
      <c r="J33" s="19">
        <v>31764</v>
      </c>
      <c r="K33" s="19">
        <v>43209</v>
      </c>
      <c r="L33" s="19">
        <v>52352</v>
      </c>
      <c r="M33" s="19">
        <v>59707</v>
      </c>
      <c r="N33" s="20">
        <v>71301</v>
      </c>
      <c r="O33" s="1"/>
      <c r="P33" s="1"/>
    </row>
    <row r="34" spans="1:16" ht="12.75" customHeight="1">
      <c r="A34" s="1"/>
      <c r="B34" s="1"/>
      <c r="C34" s="92">
        <v>17500</v>
      </c>
      <c r="D34" s="29">
        <v>4145</v>
      </c>
      <c r="E34" s="16">
        <v>10161</v>
      </c>
      <c r="F34" s="16">
        <v>18434</v>
      </c>
      <c r="G34" s="16">
        <v>21021</v>
      </c>
      <c r="H34" s="16">
        <v>26125</v>
      </c>
      <c r="I34" s="16">
        <v>28925</v>
      </c>
      <c r="J34" s="16">
        <v>34731</v>
      </c>
      <c r="K34" s="16">
        <v>47080</v>
      </c>
      <c r="L34" s="16">
        <v>57041</v>
      </c>
      <c r="M34" s="16">
        <v>65055</v>
      </c>
      <c r="N34" s="17">
        <v>77687</v>
      </c>
      <c r="O34" s="1"/>
      <c r="P34" s="1"/>
    </row>
    <row r="35" spans="1:16" ht="12.75" customHeight="1">
      <c r="A35" s="1"/>
      <c r="B35" s="1"/>
      <c r="C35" s="91">
        <v>20000</v>
      </c>
      <c r="D35" s="28">
        <v>4502</v>
      </c>
      <c r="E35" s="19">
        <v>11099</v>
      </c>
      <c r="F35" s="19">
        <v>19990</v>
      </c>
      <c r="G35" s="19">
        <v>22796</v>
      </c>
      <c r="H35" s="19">
        <v>28318</v>
      </c>
      <c r="I35" s="19">
        <v>31354</v>
      </c>
      <c r="J35" s="19">
        <v>37646</v>
      </c>
      <c r="K35" s="19">
        <v>50760</v>
      </c>
      <c r="L35" s="19">
        <v>61500</v>
      </c>
      <c r="M35" s="19">
        <v>70140</v>
      </c>
      <c r="N35" s="20">
        <v>83760</v>
      </c>
      <c r="O35" s="1"/>
      <c r="P35" s="1"/>
    </row>
    <row r="36" spans="1:16" ht="12.75" customHeight="1">
      <c r="A36" s="1"/>
      <c r="B36" s="1"/>
      <c r="C36" s="92">
        <v>22500</v>
      </c>
      <c r="D36" s="29">
        <v>4838</v>
      </c>
      <c r="E36" s="16">
        <v>11824</v>
      </c>
      <c r="F36" s="16">
        <v>21142</v>
      </c>
      <c r="G36" s="16">
        <v>24109</v>
      </c>
      <c r="H36" s="16">
        <v>29953</v>
      </c>
      <c r="I36" s="16">
        <v>33164</v>
      </c>
      <c r="J36" s="16">
        <v>39820</v>
      </c>
      <c r="K36" s="16">
        <v>53679</v>
      </c>
      <c r="L36" s="16">
        <v>65036</v>
      </c>
      <c r="M36" s="16">
        <v>74173</v>
      </c>
      <c r="N36" s="17">
        <v>88576</v>
      </c>
      <c r="O36" s="1"/>
      <c r="P36" s="1"/>
    </row>
    <row r="37" spans="1:16" ht="12.75" customHeight="1">
      <c r="A37" s="1"/>
      <c r="B37" s="1"/>
      <c r="C37" s="91">
        <v>25000</v>
      </c>
      <c r="D37" s="28">
        <v>5124</v>
      </c>
      <c r="E37" s="19">
        <v>12403</v>
      </c>
      <c r="F37" s="19">
        <v>22444</v>
      </c>
      <c r="G37" s="19">
        <v>25594</v>
      </c>
      <c r="H37" s="19">
        <v>31550</v>
      </c>
      <c r="I37" s="19">
        <v>34932</v>
      </c>
      <c r="J37" s="19">
        <v>41943</v>
      </c>
      <c r="K37" s="19">
        <v>56788</v>
      </c>
      <c r="L37" s="19">
        <v>68803</v>
      </c>
      <c r="M37" s="19">
        <v>78469</v>
      </c>
      <c r="N37" s="20">
        <v>93707</v>
      </c>
      <c r="O37" s="1"/>
      <c r="P37" s="1"/>
    </row>
    <row r="38" spans="1:16" ht="12.75" customHeight="1">
      <c r="A38" s="1"/>
      <c r="B38" s="1"/>
      <c r="C38" s="92">
        <v>27500</v>
      </c>
      <c r="D38" s="29">
        <v>5359</v>
      </c>
      <c r="E38" s="16">
        <v>13037</v>
      </c>
      <c r="F38" s="16">
        <v>23371</v>
      </c>
      <c r="G38" s="16">
        <v>26652</v>
      </c>
      <c r="H38" s="16">
        <v>32800</v>
      </c>
      <c r="I38" s="16">
        <v>36317</v>
      </c>
      <c r="J38" s="16">
        <v>43605</v>
      </c>
      <c r="K38" s="16">
        <v>58628</v>
      </c>
      <c r="L38" s="16">
        <v>71033</v>
      </c>
      <c r="M38" s="16">
        <v>81012</v>
      </c>
      <c r="N38" s="17">
        <v>96743</v>
      </c>
      <c r="O38" s="1"/>
      <c r="P38" s="1"/>
    </row>
    <row r="39" spans="1:16" ht="12.75" customHeight="1">
      <c r="A39" s="1"/>
      <c r="B39" s="1"/>
      <c r="C39" s="91">
        <v>30000</v>
      </c>
      <c r="D39" s="28">
        <v>5544</v>
      </c>
      <c r="E39" s="19">
        <v>13451</v>
      </c>
      <c r="F39" s="19">
        <v>24239</v>
      </c>
      <c r="G39" s="19">
        <v>27641</v>
      </c>
      <c r="H39" s="19">
        <v>33935</v>
      </c>
      <c r="I39" s="19">
        <v>37573</v>
      </c>
      <c r="J39" s="19">
        <v>45114</v>
      </c>
      <c r="K39" s="19">
        <v>61293</v>
      </c>
      <c r="L39" s="19">
        <v>74261</v>
      </c>
      <c r="M39" s="19">
        <v>84694</v>
      </c>
      <c r="N39" s="20">
        <v>101140</v>
      </c>
      <c r="O39" s="1"/>
      <c r="P39" s="1"/>
    </row>
    <row r="40" spans="1:16" ht="12.75" customHeight="1">
      <c r="A40" s="1"/>
      <c r="B40" s="1"/>
      <c r="C40" s="92">
        <v>32500</v>
      </c>
      <c r="D40" s="29">
        <v>5733</v>
      </c>
      <c r="E40" s="16">
        <v>14094</v>
      </c>
      <c r="F40" s="16">
        <v>25481</v>
      </c>
      <c r="G40" s="16">
        <v>29057</v>
      </c>
      <c r="H40" s="16">
        <v>36013</v>
      </c>
      <c r="I40" s="16">
        <v>39874</v>
      </c>
      <c r="J40" s="16">
        <v>47876</v>
      </c>
      <c r="K40" s="16">
        <v>64751</v>
      </c>
      <c r="L40" s="16">
        <v>78451</v>
      </c>
      <c r="M40" s="16">
        <v>89472</v>
      </c>
      <c r="N40" s="17">
        <v>106846</v>
      </c>
      <c r="O40" s="1"/>
      <c r="P40" s="1"/>
    </row>
    <row r="41" spans="1:16" ht="12.75" customHeight="1">
      <c r="A41" s="1"/>
      <c r="B41" s="1"/>
      <c r="C41" s="91">
        <v>35000</v>
      </c>
      <c r="D41" s="28">
        <v>5939</v>
      </c>
      <c r="E41" s="19">
        <v>14663</v>
      </c>
      <c r="F41" s="19">
        <v>26394</v>
      </c>
      <c r="G41" s="19">
        <v>30098</v>
      </c>
      <c r="H41" s="19">
        <v>37436</v>
      </c>
      <c r="I41" s="19">
        <v>41450</v>
      </c>
      <c r="J41" s="19">
        <v>49769</v>
      </c>
      <c r="K41" s="19">
        <v>67067</v>
      </c>
      <c r="L41" s="19">
        <v>81257</v>
      </c>
      <c r="M41" s="19">
        <v>92672</v>
      </c>
      <c r="N41" s="20">
        <v>110668</v>
      </c>
      <c r="O41" s="1"/>
      <c r="P41" s="1"/>
    </row>
    <row r="42" spans="1:16" ht="12.75" customHeight="1">
      <c r="A42" s="1"/>
      <c r="B42" s="1"/>
      <c r="C42" s="92">
        <v>37500</v>
      </c>
      <c r="D42" s="29">
        <v>6174</v>
      </c>
      <c r="E42" s="16">
        <v>15159</v>
      </c>
      <c r="F42" s="16">
        <v>27381</v>
      </c>
      <c r="G42" s="16">
        <v>31224</v>
      </c>
      <c r="H42" s="16">
        <v>38667</v>
      </c>
      <c r="I42" s="16">
        <v>42813</v>
      </c>
      <c r="J42" s="16">
        <v>51406</v>
      </c>
      <c r="K42" s="16">
        <v>69478</v>
      </c>
      <c r="L42" s="16">
        <v>84178</v>
      </c>
      <c r="M42" s="16">
        <v>96004</v>
      </c>
      <c r="N42" s="17">
        <v>114647</v>
      </c>
      <c r="O42" s="1"/>
      <c r="P42" s="1"/>
    </row>
    <row r="43" spans="1:16" ht="12.75" customHeight="1">
      <c r="A43" s="1"/>
      <c r="B43" s="1"/>
      <c r="C43" s="91">
        <v>40000</v>
      </c>
      <c r="D43" s="28">
        <v>6384</v>
      </c>
      <c r="E43" s="19">
        <v>15729</v>
      </c>
      <c r="F43" s="19">
        <v>28249</v>
      </c>
      <c r="G43" s="19">
        <v>32214</v>
      </c>
      <c r="H43" s="19">
        <v>40014</v>
      </c>
      <c r="I43" s="19">
        <v>44304</v>
      </c>
      <c r="J43" s="19">
        <v>53196</v>
      </c>
      <c r="K43" s="19">
        <v>71572</v>
      </c>
      <c r="L43" s="19">
        <v>86715</v>
      </c>
      <c r="M43" s="19">
        <v>98897</v>
      </c>
      <c r="N43" s="20">
        <v>118102</v>
      </c>
      <c r="O43" s="1"/>
      <c r="P43" s="1"/>
    </row>
    <row r="44" spans="1:16" ht="12.75" customHeight="1">
      <c r="A44" s="1"/>
      <c r="B44" s="1"/>
      <c r="C44" s="92">
        <v>42500</v>
      </c>
      <c r="D44" s="29">
        <v>6569</v>
      </c>
      <c r="E44" s="16">
        <v>16244</v>
      </c>
      <c r="F44" s="16">
        <v>29252</v>
      </c>
      <c r="G44" s="16">
        <v>33357</v>
      </c>
      <c r="H44" s="16">
        <v>41207</v>
      </c>
      <c r="I44" s="16">
        <v>45625</v>
      </c>
      <c r="J44" s="16">
        <v>54782</v>
      </c>
      <c r="K44" s="16">
        <v>73888</v>
      </c>
      <c r="L44" s="16">
        <v>89521</v>
      </c>
      <c r="M44" s="16">
        <v>102098</v>
      </c>
      <c r="N44" s="17">
        <v>121923</v>
      </c>
      <c r="O44" s="1"/>
      <c r="P44" s="1"/>
    </row>
    <row r="45" spans="1:16" ht="12.75" customHeight="1">
      <c r="A45" s="1"/>
      <c r="B45" s="1"/>
      <c r="C45" s="91">
        <v>45000</v>
      </c>
      <c r="D45" s="28">
        <v>6728</v>
      </c>
      <c r="E45" s="19">
        <v>16703</v>
      </c>
      <c r="F45" s="19">
        <v>29895</v>
      </c>
      <c r="G45" s="19">
        <v>34091</v>
      </c>
      <c r="H45" s="19">
        <v>42592</v>
      </c>
      <c r="I45" s="19">
        <v>47158</v>
      </c>
      <c r="J45" s="19">
        <v>56623</v>
      </c>
      <c r="K45" s="19">
        <v>75950</v>
      </c>
      <c r="L45" s="19">
        <v>92019</v>
      </c>
      <c r="M45" s="19">
        <v>104947</v>
      </c>
      <c r="N45" s="20">
        <v>125326</v>
      </c>
      <c r="O45" s="1"/>
      <c r="P45" s="1"/>
    </row>
    <row r="46" spans="1:16" ht="12.75" customHeight="1">
      <c r="A46" s="1"/>
      <c r="B46" s="1"/>
      <c r="C46" s="92">
        <v>47500</v>
      </c>
      <c r="D46" s="29">
        <v>6943</v>
      </c>
      <c r="E46" s="16">
        <v>17107</v>
      </c>
      <c r="F46" s="16">
        <v>30703</v>
      </c>
      <c r="G46" s="16">
        <v>35012</v>
      </c>
      <c r="H46" s="16">
        <v>43496</v>
      </c>
      <c r="I46" s="16">
        <v>48159</v>
      </c>
      <c r="J46" s="16">
        <v>57825</v>
      </c>
      <c r="K46" s="16">
        <v>78361</v>
      </c>
      <c r="L46" s="16">
        <v>94941</v>
      </c>
      <c r="M46" s="16">
        <v>108279</v>
      </c>
      <c r="N46" s="17">
        <v>129305</v>
      </c>
      <c r="O46" s="1"/>
      <c r="P46" s="1"/>
    </row>
    <row r="47" spans="1:16" ht="12.75" customHeight="1">
      <c r="A47" s="1"/>
      <c r="B47" s="1"/>
      <c r="C47" s="91">
        <v>50000</v>
      </c>
      <c r="D47" s="28">
        <v>7140</v>
      </c>
      <c r="E47" s="19">
        <v>17640</v>
      </c>
      <c r="F47" s="19">
        <v>31421</v>
      </c>
      <c r="G47" s="19">
        <v>35831</v>
      </c>
      <c r="H47" s="19">
        <v>44631</v>
      </c>
      <c r="I47" s="19">
        <v>49416</v>
      </c>
      <c r="J47" s="19">
        <v>59334</v>
      </c>
      <c r="K47" s="19">
        <v>79947</v>
      </c>
      <c r="L47" s="19">
        <v>96863</v>
      </c>
      <c r="M47" s="19">
        <v>110471</v>
      </c>
      <c r="N47" s="20">
        <v>131922</v>
      </c>
      <c r="O47" s="1"/>
      <c r="P47" s="1"/>
    </row>
    <row r="48" spans="1:16" ht="12.75" customHeight="1">
      <c r="A48" s="1"/>
      <c r="B48" s="1"/>
      <c r="C48" s="92">
        <v>55000</v>
      </c>
      <c r="D48" s="29">
        <v>7484</v>
      </c>
      <c r="E48" s="16">
        <v>18393</v>
      </c>
      <c r="F48" s="16">
        <v>32918</v>
      </c>
      <c r="G48" s="16">
        <v>37538</v>
      </c>
      <c r="H48" s="16">
        <v>46978</v>
      </c>
      <c r="I48" s="16">
        <v>52015</v>
      </c>
      <c r="J48" s="16">
        <v>62454</v>
      </c>
      <c r="K48" s="16">
        <v>83754</v>
      </c>
      <c r="L48" s="16">
        <v>101475</v>
      </c>
      <c r="M48" s="16">
        <v>115731</v>
      </c>
      <c r="N48" s="17">
        <v>138204</v>
      </c>
      <c r="O48" s="1"/>
      <c r="P48" s="1"/>
    </row>
    <row r="49" spans="1:16" ht="12.75" customHeight="1">
      <c r="A49" s="1"/>
      <c r="B49" s="1"/>
      <c r="C49" s="91">
        <v>60000</v>
      </c>
      <c r="D49" s="28">
        <v>7762</v>
      </c>
      <c r="E49" s="19">
        <v>19184</v>
      </c>
      <c r="F49" s="19">
        <v>34474</v>
      </c>
      <c r="G49" s="19">
        <v>39312</v>
      </c>
      <c r="H49" s="19">
        <v>48940</v>
      </c>
      <c r="I49" s="19">
        <v>54187</v>
      </c>
      <c r="J49" s="19">
        <v>65063</v>
      </c>
      <c r="K49" s="19">
        <v>87561</v>
      </c>
      <c r="L49" s="19">
        <v>106088</v>
      </c>
      <c r="M49" s="19">
        <v>120992</v>
      </c>
      <c r="N49" s="20">
        <v>144486</v>
      </c>
      <c r="O49" s="1"/>
      <c r="P49" s="1"/>
    </row>
    <row r="50" spans="1:16" ht="12.75" customHeight="1">
      <c r="A50" s="1"/>
      <c r="B50" s="1"/>
      <c r="C50" s="92">
        <v>65000</v>
      </c>
      <c r="D50" s="29">
        <v>8081</v>
      </c>
      <c r="E50" s="16">
        <v>20066</v>
      </c>
      <c r="F50" s="16">
        <v>36179</v>
      </c>
      <c r="G50" s="16">
        <v>41257</v>
      </c>
      <c r="H50" s="16">
        <v>51018</v>
      </c>
      <c r="I50" s="16">
        <v>56488</v>
      </c>
      <c r="J50" s="16">
        <v>67825</v>
      </c>
      <c r="K50" s="16">
        <v>91558</v>
      </c>
      <c r="L50" s="16">
        <v>110931</v>
      </c>
      <c r="M50" s="16">
        <v>126515</v>
      </c>
      <c r="N50" s="17">
        <v>151082</v>
      </c>
      <c r="O50" s="1"/>
      <c r="P50" s="1"/>
    </row>
    <row r="51" spans="1:16" ht="12.75" customHeight="1">
      <c r="A51" s="1"/>
      <c r="B51" s="1"/>
      <c r="C51" s="91">
        <v>70000</v>
      </c>
      <c r="D51" s="28">
        <v>8467</v>
      </c>
      <c r="E51" s="19">
        <v>20837</v>
      </c>
      <c r="F51" s="19">
        <v>37287</v>
      </c>
      <c r="G51" s="19">
        <v>42520</v>
      </c>
      <c r="H51" s="19">
        <v>52788</v>
      </c>
      <c r="I51" s="19">
        <v>58447</v>
      </c>
      <c r="J51" s="19">
        <v>70178</v>
      </c>
      <c r="K51" s="19">
        <v>95048</v>
      </c>
      <c r="L51" s="19">
        <v>115159</v>
      </c>
      <c r="M51" s="19">
        <v>131337</v>
      </c>
      <c r="N51" s="20">
        <v>156841</v>
      </c>
      <c r="O51" s="1"/>
      <c r="P51" s="1"/>
    </row>
    <row r="52" spans="1:16" ht="12.75" customHeight="1">
      <c r="A52" s="1"/>
      <c r="B52" s="1"/>
      <c r="C52" s="92">
        <v>75000</v>
      </c>
      <c r="D52" s="29">
        <v>8694</v>
      </c>
      <c r="E52" s="16">
        <v>21499</v>
      </c>
      <c r="F52" s="16">
        <v>38603</v>
      </c>
      <c r="G52" s="16">
        <v>44021</v>
      </c>
      <c r="H52" s="16">
        <v>54827</v>
      </c>
      <c r="I52" s="16">
        <v>60705</v>
      </c>
      <c r="J52" s="16">
        <v>72889</v>
      </c>
      <c r="K52" s="16">
        <v>98030</v>
      </c>
      <c r="L52" s="16">
        <v>118772</v>
      </c>
      <c r="M52" s="16">
        <v>135458</v>
      </c>
      <c r="N52" s="17">
        <v>161762</v>
      </c>
      <c r="O52" s="1"/>
      <c r="P52" s="1"/>
    </row>
    <row r="53" spans="1:16" ht="12.75" customHeight="1" thickBot="1">
      <c r="A53" s="1"/>
      <c r="B53" s="1"/>
      <c r="C53" s="93">
        <v>80000</v>
      </c>
      <c r="D53" s="30">
        <v>9005</v>
      </c>
      <c r="E53" s="21">
        <v>22050</v>
      </c>
      <c r="F53" s="21">
        <v>39740</v>
      </c>
      <c r="G53" s="21">
        <v>45318</v>
      </c>
      <c r="H53" s="21">
        <v>56635</v>
      </c>
      <c r="I53" s="21">
        <v>62707</v>
      </c>
      <c r="J53" s="21">
        <v>75293</v>
      </c>
      <c r="K53" s="21">
        <v>101520</v>
      </c>
      <c r="L53" s="21">
        <v>123000</v>
      </c>
      <c r="M53" s="21">
        <v>140280</v>
      </c>
      <c r="N53" s="22">
        <v>167520</v>
      </c>
      <c r="O53" s="1"/>
      <c r="P53" s="1"/>
    </row>
    <row r="54" spans="1:16" ht="6" customHeight="1">
      <c r="A54" s="1"/>
      <c r="B54" s="1"/>
      <c r="C54" s="5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 customHeight="1">
      <c r="A55" s="1"/>
      <c r="B55" s="1"/>
      <c r="C55" s="263" t="s">
        <v>11</v>
      </c>
      <c r="D55" s="5" t="s">
        <v>123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6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 customHeight="1">
      <c r="A57" s="1"/>
      <c r="B57" s="1"/>
      <c r="C57" s="263" t="s">
        <v>11</v>
      </c>
      <c r="D57" s="264" t="s">
        <v>124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 customHeight="1">
      <c r="A58" s="1"/>
      <c r="B58" s="1"/>
      <c r="C58" s="1"/>
      <c r="D58" s="264" t="s">
        <v>125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 customHeight="1">
      <c r="A59" s="1"/>
      <c r="B59" s="1"/>
      <c r="C59" s="263" t="s">
        <v>11</v>
      </c>
      <c r="D59" s="273" t="s">
        <v>64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 customHeight="1">
      <c r="A66" s="1"/>
      <c r="B66" s="1"/>
      <c r="C66" s="161" t="s">
        <v>139</v>
      </c>
      <c r="D66" s="1"/>
      <c r="E66" s="1"/>
      <c r="F66" s="1"/>
      <c r="G66" s="1"/>
      <c r="H66" s="18"/>
      <c r="I66" s="3"/>
      <c r="J66" s="1"/>
      <c r="K66" s="1"/>
      <c r="L66" s="1"/>
      <c r="M66" s="1"/>
      <c r="N66" s="1"/>
      <c r="O66" s="1"/>
      <c r="P66" s="1"/>
    </row>
    <row r="67" spans="1:16" ht="12.75" customHeight="1" thickBot="1">
      <c r="A67" s="1"/>
      <c r="B67" s="1"/>
      <c r="C67" s="1"/>
      <c r="D67" s="1"/>
      <c r="E67" s="1"/>
      <c r="F67" s="1"/>
      <c r="G67" s="1"/>
      <c r="H67" s="4" t="str">
        <f>H5</f>
        <v>[01/07/2008  -</v>
      </c>
      <c r="I67" s="5" t="str">
        <f>I5</f>
        <v>31/12/2008]</v>
      </c>
      <c r="J67" s="1"/>
      <c r="K67" s="1"/>
      <c r="L67" s="1"/>
      <c r="M67" s="1"/>
      <c r="N67" s="1"/>
      <c r="O67" s="1"/>
      <c r="P67" s="1"/>
    </row>
    <row r="68" spans="1:16" ht="13.5" customHeight="1" thickBot="1">
      <c r="A68" s="1"/>
      <c r="B68" s="1"/>
      <c r="C68" s="45" t="s">
        <v>129</v>
      </c>
      <c r="D68" s="41"/>
      <c r="E68" s="42"/>
      <c r="F68" s="42"/>
      <c r="G68" s="42"/>
      <c r="H68" s="41"/>
      <c r="I68" s="43"/>
      <c r="J68" s="42"/>
      <c r="K68" s="42"/>
      <c r="L68" s="42"/>
      <c r="M68" s="42"/>
      <c r="N68" s="44"/>
      <c r="O68" s="1"/>
      <c r="P68" s="1"/>
    </row>
    <row r="69" spans="1:16" ht="13.5" customHeight="1">
      <c r="A69" s="1"/>
      <c r="B69" s="1"/>
      <c r="C69" s="86" t="str">
        <f>C7</f>
        <v>YAPI ALANI</v>
      </c>
      <c r="D69" s="48" t="str">
        <f aca="true" t="shared" si="0" ref="D69:N71">D7</f>
        <v>1. SINIF</v>
      </c>
      <c r="E69" s="46" t="str">
        <f t="shared" si="0"/>
        <v>2. SINIF</v>
      </c>
      <c r="F69" s="46" t="str">
        <f t="shared" si="0"/>
        <v>3A SINIF</v>
      </c>
      <c r="G69" s="46" t="str">
        <f t="shared" si="0"/>
        <v>3B SINIF</v>
      </c>
      <c r="H69" s="46" t="str">
        <f t="shared" si="0"/>
        <v>4A SINIF</v>
      </c>
      <c r="I69" s="46" t="str">
        <f t="shared" si="0"/>
        <v>4B SINIF</v>
      </c>
      <c r="J69" s="46" t="str">
        <f t="shared" si="0"/>
        <v>4C SINIF</v>
      </c>
      <c r="K69" s="46" t="str">
        <f t="shared" si="0"/>
        <v>5A SINIF</v>
      </c>
      <c r="L69" s="46" t="str">
        <f t="shared" si="0"/>
        <v>5B SINIF</v>
      </c>
      <c r="M69" s="46" t="str">
        <f t="shared" si="0"/>
        <v>5C SINIF</v>
      </c>
      <c r="N69" s="47" t="str">
        <f t="shared" si="0"/>
        <v>5D SINIF</v>
      </c>
      <c r="O69" s="1"/>
      <c r="P69" s="1"/>
    </row>
    <row r="70" spans="1:16" ht="13.5" customHeight="1" thickBot="1">
      <c r="A70" s="1"/>
      <c r="B70" s="1"/>
      <c r="C70" s="87" t="s">
        <v>47</v>
      </c>
      <c r="D70" s="11" t="str">
        <f t="shared" si="0"/>
        <v>[YTL]</v>
      </c>
      <c r="E70" s="12" t="str">
        <f t="shared" si="0"/>
        <v>[YTL]</v>
      </c>
      <c r="F70" s="12" t="str">
        <f t="shared" si="0"/>
        <v>[YTL]</v>
      </c>
      <c r="G70" s="12" t="str">
        <f t="shared" si="0"/>
        <v>[YTL]</v>
      </c>
      <c r="H70" s="12" t="str">
        <f t="shared" si="0"/>
        <v>[YTL]</v>
      </c>
      <c r="I70" s="12" t="str">
        <f t="shared" si="0"/>
        <v>[YTL]</v>
      </c>
      <c r="J70" s="12" t="str">
        <f t="shared" si="0"/>
        <v>[YTL]</v>
      </c>
      <c r="K70" s="12" t="str">
        <f t="shared" si="0"/>
        <v>[YTL]</v>
      </c>
      <c r="L70" s="12" t="str">
        <f t="shared" si="0"/>
        <v>[YTL]</v>
      </c>
      <c r="M70" s="12" t="str">
        <f t="shared" si="0"/>
        <v>[YTL]</v>
      </c>
      <c r="N70" s="13" t="str">
        <f t="shared" si="0"/>
        <v>[YTL]</v>
      </c>
      <c r="O70" s="1"/>
      <c r="P70" s="1"/>
    </row>
    <row r="71" spans="1:16" ht="12.75" customHeight="1" hidden="1" thickBot="1">
      <c r="A71" s="1"/>
      <c r="B71" s="265" t="s">
        <v>38</v>
      </c>
      <c r="C71" s="129" t="s">
        <v>24</v>
      </c>
      <c r="D71" s="38">
        <f t="shared" si="0"/>
        <v>1</v>
      </c>
      <c r="E71" s="39">
        <f t="shared" si="0"/>
        <v>2</v>
      </c>
      <c r="F71" s="39" t="str">
        <f t="shared" si="0"/>
        <v>3A</v>
      </c>
      <c r="G71" s="39" t="str">
        <f t="shared" si="0"/>
        <v>3B</v>
      </c>
      <c r="H71" s="39" t="str">
        <f t="shared" si="0"/>
        <v>4A</v>
      </c>
      <c r="I71" s="39" t="str">
        <f t="shared" si="0"/>
        <v>4B</v>
      </c>
      <c r="J71" s="39" t="str">
        <f t="shared" si="0"/>
        <v>4C</v>
      </c>
      <c r="K71" s="39" t="str">
        <f t="shared" si="0"/>
        <v>5A</v>
      </c>
      <c r="L71" s="39" t="str">
        <f t="shared" si="0"/>
        <v>5B</v>
      </c>
      <c r="M71" s="39" t="str">
        <f t="shared" si="0"/>
        <v>5C</v>
      </c>
      <c r="N71" s="40" t="str">
        <f t="shared" si="0"/>
        <v>5D</v>
      </c>
      <c r="O71" s="1"/>
      <c r="P71" s="1"/>
    </row>
    <row r="72" spans="1:16" ht="12.75" customHeight="1">
      <c r="A72" s="1"/>
      <c r="B72" s="265" t="s">
        <v>37</v>
      </c>
      <c r="C72" s="23">
        <v>250</v>
      </c>
      <c r="D72" s="27">
        <f aca="true" t="shared" si="1" ref="D72:N87">PRODUCT(D10,4/100)</f>
        <v>7.36</v>
      </c>
      <c r="E72" s="14">
        <f t="shared" si="1"/>
        <v>18.12</v>
      </c>
      <c r="F72" s="14">
        <f t="shared" si="1"/>
        <v>32.84</v>
      </c>
      <c r="G72" s="14">
        <f t="shared" si="1"/>
        <v>37.480000000000004</v>
      </c>
      <c r="H72" s="14">
        <f t="shared" si="1"/>
        <v>52.72</v>
      </c>
      <c r="I72" s="14">
        <f t="shared" si="1"/>
        <v>58.36</v>
      </c>
      <c r="J72" s="14">
        <f t="shared" si="1"/>
        <v>70.08</v>
      </c>
      <c r="K72" s="14">
        <f t="shared" si="1"/>
        <v>83.88</v>
      </c>
      <c r="L72" s="14">
        <f t="shared" si="1"/>
        <v>101.64</v>
      </c>
      <c r="M72" s="14">
        <f t="shared" si="1"/>
        <v>115.92</v>
      </c>
      <c r="N72" s="15">
        <f t="shared" si="1"/>
        <v>138.4</v>
      </c>
      <c r="O72" s="1"/>
      <c r="P72" s="1"/>
    </row>
    <row r="73" spans="1:16" ht="12.75" customHeight="1">
      <c r="A73" s="1"/>
      <c r="B73" s="1"/>
      <c r="C73" s="24">
        <v>300</v>
      </c>
      <c r="D73" s="28">
        <f t="shared" si="1"/>
        <v>8.64</v>
      </c>
      <c r="E73" s="19">
        <f t="shared" si="1"/>
        <v>21.36</v>
      </c>
      <c r="F73" s="19">
        <f t="shared" si="1"/>
        <v>38.800000000000004</v>
      </c>
      <c r="G73" s="19">
        <f t="shared" si="1"/>
        <v>44.24</v>
      </c>
      <c r="H73" s="19">
        <f t="shared" si="1"/>
        <v>55.04</v>
      </c>
      <c r="I73" s="19">
        <f t="shared" si="1"/>
        <v>60.92</v>
      </c>
      <c r="J73" s="19">
        <f t="shared" si="1"/>
        <v>73.16</v>
      </c>
      <c r="K73" s="19">
        <f t="shared" si="1"/>
        <v>99.28</v>
      </c>
      <c r="L73" s="19">
        <f t="shared" si="1"/>
        <v>120.28</v>
      </c>
      <c r="M73" s="19">
        <f t="shared" si="1"/>
        <v>137.20000000000002</v>
      </c>
      <c r="N73" s="20">
        <f t="shared" si="1"/>
        <v>163.84</v>
      </c>
      <c r="O73" s="1"/>
      <c r="P73" s="1"/>
    </row>
    <row r="74" spans="1:16" ht="12.75" customHeight="1">
      <c r="A74" s="1"/>
      <c r="B74" s="1"/>
      <c r="C74" s="25">
        <v>400</v>
      </c>
      <c r="D74" s="29">
        <f t="shared" si="1"/>
        <v>11.040000000000001</v>
      </c>
      <c r="E74" s="16">
        <f t="shared" si="1"/>
        <v>27.400000000000002</v>
      </c>
      <c r="F74" s="16">
        <f t="shared" si="1"/>
        <v>50</v>
      </c>
      <c r="G74" s="16">
        <f t="shared" si="1"/>
        <v>57</v>
      </c>
      <c r="H74" s="16">
        <f t="shared" si="1"/>
        <v>71.16</v>
      </c>
      <c r="I74" s="16">
        <f t="shared" si="1"/>
        <v>78.8</v>
      </c>
      <c r="J74" s="16">
        <f t="shared" si="1"/>
        <v>94.60000000000001</v>
      </c>
      <c r="K74" s="16">
        <f t="shared" si="1"/>
        <v>128.72</v>
      </c>
      <c r="L74" s="16">
        <f t="shared" si="1"/>
        <v>155.96</v>
      </c>
      <c r="M74" s="16">
        <f t="shared" si="1"/>
        <v>177.88</v>
      </c>
      <c r="N74" s="17">
        <f t="shared" si="1"/>
        <v>212.4</v>
      </c>
      <c r="O74" s="1"/>
      <c r="P74" s="1"/>
    </row>
    <row r="75" spans="1:16" ht="12.75" customHeight="1">
      <c r="A75" s="1"/>
      <c r="B75" s="1"/>
      <c r="C75" s="24">
        <v>500</v>
      </c>
      <c r="D75" s="28">
        <f t="shared" si="1"/>
        <v>13.16</v>
      </c>
      <c r="E75" s="19">
        <f t="shared" si="1"/>
        <v>32.92</v>
      </c>
      <c r="F75" s="19">
        <f t="shared" si="1"/>
        <v>60.32</v>
      </c>
      <c r="G75" s="19">
        <f t="shared" si="1"/>
        <v>68.8</v>
      </c>
      <c r="H75" s="19">
        <f t="shared" si="1"/>
        <v>86.2</v>
      </c>
      <c r="I75" s="19">
        <f t="shared" si="1"/>
        <v>95.44</v>
      </c>
      <c r="J75" s="19">
        <f t="shared" si="1"/>
        <v>114.56</v>
      </c>
      <c r="K75" s="19">
        <f t="shared" si="1"/>
        <v>156.36</v>
      </c>
      <c r="L75" s="19">
        <f t="shared" si="1"/>
        <v>189.44</v>
      </c>
      <c r="M75" s="19">
        <f t="shared" si="1"/>
        <v>216.04</v>
      </c>
      <c r="N75" s="20">
        <f t="shared" si="1"/>
        <v>258</v>
      </c>
      <c r="O75" s="1"/>
      <c r="P75" s="1"/>
    </row>
    <row r="76" spans="1:16" ht="12.75" customHeight="1">
      <c r="A76" s="1"/>
      <c r="B76" s="1"/>
      <c r="C76" s="25">
        <v>600</v>
      </c>
      <c r="D76" s="29">
        <f t="shared" si="1"/>
        <v>15.08</v>
      </c>
      <c r="E76" s="16">
        <f t="shared" si="1"/>
        <v>37.92</v>
      </c>
      <c r="F76" s="16">
        <f t="shared" si="1"/>
        <v>69.8</v>
      </c>
      <c r="G76" s="16">
        <f t="shared" si="1"/>
        <v>79.60000000000001</v>
      </c>
      <c r="H76" s="16">
        <f t="shared" si="1"/>
        <v>100.08</v>
      </c>
      <c r="I76" s="16">
        <f t="shared" si="1"/>
        <v>110.84</v>
      </c>
      <c r="J76" s="16">
        <f t="shared" si="1"/>
        <v>133.08</v>
      </c>
      <c r="K76" s="16">
        <f t="shared" si="1"/>
        <v>182.12</v>
      </c>
      <c r="L76" s="16">
        <f t="shared" si="1"/>
        <v>220.68</v>
      </c>
      <c r="M76" s="16">
        <f t="shared" si="1"/>
        <v>251.68</v>
      </c>
      <c r="N76" s="17">
        <f t="shared" si="1"/>
        <v>300.52</v>
      </c>
      <c r="O76" s="1"/>
      <c r="P76" s="1"/>
    </row>
    <row r="77" spans="1:16" ht="12.75" customHeight="1">
      <c r="A77" s="1"/>
      <c r="B77" s="1"/>
      <c r="C77" s="24">
        <v>700</v>
      </c>
      <c r="D77" s="28">
        <f t="shared" si="1"/>
        <v>16.76</v>
      </c>
      <c r="E77" s="19">
        <f t="shared" si="1"/>
        <v>42.4</v>
      </c>
      <c r="F77" s="19">
        <f t="shared" si="1"/>
        <v>78.44</v>
      </c>
      <c r="G77" s="19">
        <f t="shared" si="1"/>
        <v>89.44</v>
      </c>
      <c r="H77" s="19">
        <f t="shared" si="1"/>
        <v>112.92</v>
      </c>
      <c r="I77" s="19">
        <f t="shared" si="1"/>
        <v>125</v>
      </c>
      <c r="J77" s="19">
        <f t="shared" si="1"/>
        <v>150.08</v>
      </c>
      <c r="K77" s="19">
        <f t="shared" si="1"/>
        <v>206.08</v>
      </c>
      <c r="L77" s="19">
        <f t="shared" si="1"/>
        <v>249.68</v>
      </c>
      <c r="M77" s="19">
        <f t="shared" si="1"/>
        <v>284.76</v>
      </c>
      <c r="N77" s="20">
        <f t="shared" si="1"/>
        <v>340.08</v>
      </c>
      <c r="O77" s="1"/>
      <c r="P77" s="1"/>
    </row>
    <row r="78" spans="1:16" ht="12.75" customHeight="1">
      <c r="A78" s="1"/>
      <c r="B78" s="1"/>
      <c r="C78" s="25">
        <v>800</v>
      </c>
      <c r="D78" s="29">
        <f t="shared" si="1"/>
        <v>18.16</v>
      </c>
      <c r="E78" s="16">
        <f t="shared" si="1"/>
        <v>46.32</v>
      </c>
      <c r="F78" s="16">
        <f t="shared" si="1"/>
        <v>86.2</v>
      </c>
      <c r="G78" s="16">
        <f t="shared" si="1"/>
        <v>98.28</v>
      </c>
      <c r="H78" s="16">
        <f t="shared" si="1"/>
        <v>124.60000000000001</v>
      </c>
      <c r="I78" s="16">
        <f t="shared" si="1"/>
        <v>137.96</v>
      </c>
      <c r="J78" s="16">
        <f t="shared" si="1"/>
        <v>165.64000000000001</v>
      </c>
      <c r="K78" s="16">
        <f t="shared" si="1"/>
        <v>228.20000000000002</v>
      </c>
      <c r="L78" s="16">
        <f t="shared" si="1"/>
        <v>276.52</v>
      </c>
      <c r="M78" s="16">
        <f t="shared" si="1"/>
        <v>315.36</v>
      </c>
      <c r="N78" s="17">
        <f t="shared" si="1"/>
        <v>376.6</v>
      </c>
      <c r="O78" s="1"/>
      <c r="P78" s="1"/>
    </row>
    <row r="79" spans="1:16" ht="12.75" customHeight="1">
      <c r="A79" s="1"/>
      <c r="B79" s="1"/>
      <c r="C79" s="24">
        <v>900</v>
      </c>
      <c r="D79" s="28">
        <f t="shared" si="1"/>
        <v>19.36</v>
      </c>
      <c r="E79" s="19">
        <f t="shared" si="1"/>
        <v>49.76</v>
      </c>
      <c r="F79" s="19">
        <f t="shared" si="1"/>
        <v>93.08</v>
      </c>
      <c r="G79" s="19">
        <f t="shared" si="1"/>
        <v>106.16</v>
      </c>
      <c r="H79" s="19">
        <f t="shared" si="1"/>
        <v>135.2</v>
      </c>
      <c r="I79" s="19">
        <f t="shared" si="1"/>
        <v>149.68</v>
      </c>
      <c r="J79" s="19">
        <f t="shared" si="1"/>
        <v>179.72</v>
      </c>
      <c r="K79" s="19">
        <f t="shared" si="1"/>
        <v>248.52</v>
      </c>
      <c r="L79" s="19">
        <f t="shared" si="1"/>
        <v>301.12</v>
      </c>
      <c r="M79" s="19">
        <f t="shared" si="1"/>
        <v>343.40000000000003</v>
      </c>
      <c r="N79" s="20">
        <f t="shared" si="1"/>
        <v>410.08</v>
      </c>
      <c r="O79" s="1"/>
      <c r="P79" s="1"/>
    </row>
    <row r="80" spans="1:16" ht="12.75" customHeight="1">
      <c r="A80" s="1"/>
      <c r="B80" s="1"/>
      <c r="C80" s="25">
        <v>1000</v>
      </c>
      <c r="D80" s="29">
        <f t="shared" si="1"/>
        <v>20.28</v>
      </c>
      <c r="E80" s="16">
        <f t="shared" si="1"/>
        <v>52.64</v>
      </c>
      <c r="F80" s="16">
        <f t="shared" si="1"/>
        <v>99.12</v>
      </c>
      <c r="G80" s="16">
        <f t="shared" si="1"/>
        <v>113.04</v>
      </c>
      <c r="H80" s="16">
        <f t="shared" si="1"/>
        <v>144.68</v>
      </c>
      <c r="I80" s="16">
        <f t="shared" si="1"/>
        <v>160.16</v>
      </c>
      <c r="J80" s="16">
        <f t="shared" si="1"/>
        <v>192.32</v>
      </c>
      <c r="K80" s="16">
        <f t="shared" si="1"/>
        <v>267</v>
      </c>
      <c r="L80" s="16">
        <f t="shared" si="1"/>
        <v>323.48</v>
      </c>
      <c r="M80" s="16">
        <f t="shared" si="1"/>
        <v>368.92</v>
      </c>
      <c r="N80" s="17">
        <f t="shared" si="1"/>
        <v>440.56</v>
      </c>
      <c r="O80" s="1"/>
      <c r="P80" s="1"/>
    </row>
    <row r="81" spans="1:16" ht="12.75" customHeight="1">
      <c r="A81" s="1"/>
      <c r="B81" s="1"/>
      <c r="C81" s="24">
        <v>1500</v>
      </c>
      <c r="D81" s="28">
        <f t="shared" si="1"/>
        <v>28.44</v>
      </c>
      <c r="E81" s="19">
        <f t="shared" si="1"/>
        <v>73.64</v>
      </c>
      <c r="F81" s="19">
        <f t="shared" si="1"/>
        <v>138.24</v>
      </c>
      <c r="G81" s="19">
        <f t="shared" si="1"/>
        <v>157.64000000000001</v>
      </c>
      <c r="H81" s="19">
        <f t="shared" si="1"/>
        <v>201.76</v>
      </c>
      <c r="I81" s="19">
        <f t="shared" si="1"/>
        <v>223.4</v>
      </c>
      <c r="J81" s="19">
        <f t="shared" si="1"/>
        <v>268.24</v>
      </c>
      <c r="K81" s="19">
        <f t="shared" si="1"/>
        <v>371.56</v>
      </c>
      <c r="L81" s="19">
        <f t="shared" si="1"/>
        <v>450.2</v>
      </c>
      <c r="M81" s="19">
        <f t="shared" si="1"/>
        <v>513.44</v>
      </c>
      <c r="N81" s="20">
        <f t="shared" si="1"/>
        <v>613.12</v>
      </c>
      <c r="O81" s="1"/>
      <c r="P81" s="1"/>
    </row>
    <row r="82" spans="1:16" ht="12.75" customHeight="1">
      <c r="A82" s="1"/>
      <c r="B82" s="1"/>
      <c r="C82" s="25">
        <v>2000</v>
      </c>
      <c r="D82" s="29">
        <f t="shared" si="1"/>
        <v>35.2</v>
      </c>
      <c r="E82" s="16">
        <f t="shared" si="1"/>
        <v>90.84</v>
      </c>
      <c r="F82" s="16">
        <f t="shared" si="1"/>
        <v>170.44</v>
      </c>
      <c r="G82" s="16">
        <f t="shared" si="1"/>
        <v>194.36</v>
      </c>
      <c r="H82" s="16">
        <f t="shared" si="1"/>
        <v>248.72</v>
      </c>
      <c r="I82" s="16">
        <f t="shared" si="1"/>
        <v>275.36</v>
      </c>
      <c r="J82" s="16">
        <f t="shared" si="1"/>
        <v>330.64</v>
      </c>
      <c r="K82" s="16">
        <f t="shared" si="1"/>
        <v>456.84000000000003</v>
      </c>
      <c r="L82" s="16">
        <f t="shared" si="1"/>
        <v>553.52</v>
      </c>
      <c r="M82" s="16">
        <f t="shared" si="1"/>
        <v>631.28</v>
      </c>
      <c r="N82" s="17">
        <f t="shared" si="1"/>
        <v>753.84</v>
      </c>
      <c r="O82" s="1"/>
      <c r="P82" s="1"/>
    </row>
    <row r="83" spans="1:16" ht="12.75" customHeight="1">
      <c r="A83" s="1"/>
      <c r="B83" s="1"/>
      <c r="C83" s="24">
        <v>2500</v>
      </c>
      <c r="D83" s="28">
        <f t="shared" si="1"/>
        <v>40.64</v>
      </c>
      <c r="E83" s="19">
        <f t="shared" si="1"/>
        <v>104.36</v>
      </c>
      <c r="F83" s="19">
        <f t="shared" si="1"/>
        <v>195.72</v>
      </c>
      <c r="G83" s="19">
        <f t="shared" si="1"/>
        <v>223.16</v>
      </c>
      <c r="H83" s="19">
        <f t="shared" si="1"/>
        <v>284.72</v>
      </c>
      <c r="I83" s="19">
        <f t="shared" si="1"/>
        <v>315.24</v>
      </c>
      <c r="J83" s="19">
        <f t="shared" si="1"/>
        <v>378.52</v>
      </c>
      <c r="K83" s="19">
        <f t="shared" si="1"/>
        <v>522.84</v>
      </c>
      <c r="L83" s="19">
        <f t="shared" si="1"/>
        <v>633.44</v>
      </c>
      <c r="M83" s="19">
        <f t="shared" si="1"/>
        <v>722.44</v>
      </c>
      <c r="N83" s="20">
        <f t="shared" si="1"/>
        <v>862.72</v>
      </c>
      <c r="O83" s="1"/>
      <c r="P83" s="1"/>
    </row>
    <row r="84" spans="1:16" ht="12.75" customHeight="1">
      <c r="A84" s="1"/>
      <c r="B84" s="1"/>
      <c r="C84" s="25">
        <v>3000</v>
      </c>
      <c r="D84" s="29">
        <f t="shared" si="1"/>
        <v>46.96</v>
      </c>
      <c r="E84" s="16">
        <f t="shared" si="1"/>
        <v>120.84</v>
      </c>
      <c r="F84" s="16">
        <f t="shared" si="1"/>
        <v>225.52</v>
      </c>
      <c r="G84" s="16">
        <f t="shared" si="1"/>
        <v>257.16</v>
      </c>
      <c r="H84" s="16">
        <f t="shared" si="1"/>
        <v>327.8</v>
      </c>
      <c r="I84" s="16">
        <f t="shared" si="1"/>
        <v>362.96</v>
      </c>
      <c r="J84" s="16">
        <f t="shared" si="1"/>
        <v>435.8</v>
      </c>
      <c r="K84" s="16">
        <f t="shared" si="1"/>
        <v>601.52</v>
      </c>
      <c r="L84" s="16">
        <f t="shared" si="1"/>
        <v>728.76</v>
      </c>
      <c r="M84" s="16">
        <f t="shared" si="1"/>
        <v>831.16</v>
      </c>
      <c r="N84" s="17">
        <f t="shared" si="1"/>
        <v>992.5600000000001</v>
      </c>
      <c r="O84" s="1"/>
      <c r="P84" s="1"/>
    </row>
    <row r="85" spans="1:16" ht="12.75" customHeight="1">
      <c r="A85" s="1"/>
      <c r="B85" s="1"/>
      <c r="C85" s="24">
        <v>3500</v>
      </c>
      <c r="D85" s="28">
        <f t="shared" si="1"/>
        <v>52.92</v>
      </c>
      <c r="E85" s="19">
        <f t="shared" si="1"/>
        <v>135.32</v>
      </c>
      <c r="F85" s="19">
        <f t="shared" si="1"/>
        <v>252.20000000000002</v>
      </c>
      <c r="G85" s="19">
        <f t="shared" si="1"/>
        <v>287.6</v>
      </c>
      <c r="H85" s="19">
        <f t="shared" si="1"/>
        <v>366.28000000000003</v>
      </c>
      <c r="I85" s="19">
        <f t="shared" si="1"/>
        <v>405.56</v>
      </c>
      <c r="J85" s="19">
        <f t="shared" si="1"/>
        <v>486.96000000000004</v>
      </c>
      <c r="K85" s="19">
        <f t="shared" si="1"/>
        <v>669.76</v>
      </c>
      <c r="L85" s="19">
        <f t="shared" si="1"/>
        <v>811.48</v>
      </c>
      <c r="M85" s="19">
        <f t="shared" si="1"/>
        <v>925.48</v>
      </c>
      <c r="N85" s="20">
        <f t="shared" si="1"/>
        <v>1105.2</v>
      </c>
      <c r="O85" s="1"/>
      <c r="P85" s="1"/>
    </row>
    <row r="86" spans="1:16" ht="12.75" customHeight="1">
      <c r="A86" s="1"/>
      <c r="B86" s="1"/>
      <c r="C86" s="25">
        <v>4000</v>
      </c>
      <c r="D86" s="29">
        <f t="shared" si="1"/>
        <v>58.08</v>
      </c>
      <c r="E86" s="16">
        <f t="shared" si="1"/>
        <v>148.76</v>
      </c>
      <c r="F86" s="16">
        <f t="shared" si="1"/>
        <v>275.8</v>
      </c>
      <c r="G86" s="16">
        <f t="shared" si="1"/>
        <v>314.48</v>
      </c>
      <c r="H86" s="16">
        <f t="shared" si="1"/>
        <v>398.92</v>
      </c>
      <c r="I86" s="16">
        <f t="shared" si="1"/>
        <v>441.68</v>
      </c>
      <c r="J86" s="16">
        <f t="shared" si="1"/>
        <v>530.32</v>
      </c>
      <c r="K86" s="16">
        <f t="shared" si="1"/>
        <v>730.96</v>
      </c>
      <c r="L86" s="16">
        <f t="shared" si="1"/>
        <v>885.6</v>
      </c>
      <c r="M86" s="16">
        <f t="shared" si="1"/>
        <v>1010</v>
      </c>
      <c r="N86" s="17">
        <f t="shared" si="1"/>
        <v>1206.16</v>
      </c>
      <c r="O86" s="1"/>
      <c r="P86" s="1"/>
    </row>
    <row r="87" spans="1:16" ht="12.75" customHeight="1">
      <c r="A87" s="1"/>
      <c r="B87" s="1"/>
      <c r="C87" s="24">
        <v>4500</v>
      </c>
      <c r="D87" s="28">
        <f t="shared" si="1"/>
        <v>63.2</v>
      </c>
      <c r="E87" s="19">
        <f t="shared" si="1"/>
        <v>160.08</v>
      </c>
      <c r="F87" s="19">
        <f t="shared" si="1"/>
        <v>296.24</v>
      </c>
      <c r="G87" s="19">
        <f t="shared" si="1"/>
        <v>337.84000000000003</v>
      </c>
      <c r="H87" s="19">
        <f t="shared" si="1"/>
        <v>428</v>
      </c>
      <c r="I87" s="19">
        <f t="shared" si="1"/>
        <v>473.88</v>
      </c>
      <c r="J87" s="19">
        <f t="shared" si="1"/>
        <v>569</v>
      </c>
      <c r="K87" s="19">
        <f t="shared" si="1"/>
        <v>781.2</v>
      </c>
      <c r="L87" s="19">
        <f t="shared" si="1"/>
        <v>946.48</v>
      </c>
      <c r="M87" s="19">
        <f t="shared" si="1"/>
        <v>1079.44</v>
      </c>
      <c r="N87" s="20">
        <f t="shared" si="1"/>
        <v>1289.08</v>
      </c>
      <c r="O87" s="1"/>
      <c r="P87" s="1"/>
    </row>
    <row r="88" spans="1:16" ht="12.75" customHeight="1">
      <c r="A88" s="1"/>
      <c r="B88" s="1"/>
      <c r="C88" s="25">
        <v>5000</v>
      </c>
      <c r="D88" s="29">
        <f aca="true" t="shared" si="2" ref="D88:N103">PRODUCT(D26,4/100)</f>
        <v>67.2</v>
      </c>
      <c r="E88" s="16">
        <f t="shared" si="2"/>
        <v>169.8</v>
      </c>
      <c r="F88" s="16">
        <f t="shared" si="2"/>
        <v>313.6</v>
      </c>
      <c r="G88" s="16">
        <f t="shared" si="2"/>
        <v>357.64</v>
      </c>
      <c r="H88" s="16">
        <f t="shared" si="2"/>
        <v>450.92</v>
      </c>
      <c r="I88" s="16">
        <f t="shared" si="2"/>
        <v>499.28000000000003</v>
      </c>
      <c r="J88" s="16">
        <f t="shared" si="2"/>
        <v>599.48</v>
      </c>
      <c r="K88" s="16">
        <f t="shared" si="2"/>
        <v>822.32</v>
      </c>
      <c r="L88" s="16">
        <f t="shared" si="2"/>
        <v>996.32</v>
      </c>
      <c r="M88" s="16">
        <f t="shared" si="2"/>
        <v>1136.28</v>
      </c>
      <c r="N88" s="17">
        <f t="shared" si="2"/>
        <v>1356.92</v>
      </c>
      <c r="O88" s="1"/>
      <c r="P88" s="1"/>
    </row>
    <row r="89" spans="1:16" ht="12.75" customHeight="1">
      <c r="A89" s="1"/>
      <c r="B89" s="1"/>
      <c r="C89" s="24">
        <v>6000</v>
      </c>
      <c r="D89" s="28">
        <f t="shared" si="2"/>
        <v>77.4</v>
      </c>
      <c r="E89" s="19">
        <f t="shared" si="2"/>
        <v>194.92000000000002</v>
      </c>
      <c r="F89" s="19">
        <f t="shared" si="2"/>
        <v>359.12</v>
      </c>
      <c r="G89" s="19">
        <f t="shared" si="2"/>
        <v>409.52</v>
      </c>
      <c r="H89" s="19">
        <f t="shared" si="2"/>
        <v>515.24</v>
      </c>
      <c r="I89" s="19">
        <f t="shared" si="2"/>
        <v>570.48</v>
      </c>
      <c r="J89" s="19">
        <f t="shared" si="2"/>
        <v>685</v>
      </c>
      <c r="K89" s="19">
        <f t="shared" si="2"/>
        <v>938.04</v>
      </c>
      <c r="L89" s="19">
        <f t="shared" si="2"/>
        <v>1136.52</v>
      </c>
      <c r="M89" s="19">
        <f t="shared" si="2"/>
        <v>1296.2</v>
      </c>
      <c r="N89" s="20">
        <f t="shared" si="2"/>
        <v>1547.88</v>
      </c>
      <c r="O89" s="1"/>
      <c r="P89" s="1"/>
    </row>
    <row r="90" spans="1:16" ht="12.75" customHeight="1">
      <c r="A90" s="1"/>
      <c r="B90" s="1"/>
      <c r="C90" s="25">
        <v>7000</v>
      </c>
      <c r="D90" s="29">
        <f t="shared" si="2"/>
        <v>86.56</v>
      </c>
      <c r="E90" s="16">
        <f t="shared" si="2"/>
        <v>217.12</v>
      </c>
      <c r="F90" s="16">
        <f t="shared" si="2"/>
        <v>398.84000000000003</v>
      </c>
      <c r="G90" s="16">
        <f t="shared" si="2"/>
        <v>454.8</v>
      </c>
      <c r="H90" s="16">
        <f t="shared" si="2"/>
        <v>573.12</v>
      </c>
      <c r="I90" s="16">
        <f t="shared" si="2"/>
        <v>634.5600000000001</v>
      </c>
      <c r="J90" s="16">
        <f t="shared" si="2"/>
        <v>761.92</v>
      </c>
      <c r="K90" s="16">
        <f t="shared" si="2"/>
        <v>1037.52</v>
      </c>
      <c r="L90" s="16">
        <f t="shared" si="2"/>
        <v>1257.08</v>
      </c>
      <c r="M90" s="16">
        <f t="shared" si="2"/>
        <v>1433.68</v>
      </c>
      <c r="N90" s="17">
        <f t="shared" si="2"/>
        <v>1712.04</v>
      </c>
      <c r="O90" s="1"/>
      <c r="P90" s="1"/>
    </row>
    <row r="91" spans="1:16" ht="12.75" customHeight="1">
      <c r="A91" s="1"/>
      <c r="B91" s="1"/>
      <c r="C91" s="24">
        <v>8000</v>
      </c>
      <c r="D91" s="28">
        <f t="shared" si="2"/>
        <v>95.16</v>
      </c>
      <c r="E91" s="19">
        <f t="shared" si="2"/>
        <v>238.72</v>
      </c>
      <c r="F91" s="19">
        <f t="shared" si="2"/>
        <v>436.68</v>
      </c>
      <c r="G91" s="19">
        <f t="shared" si="2"/>
        <v>497.96000000000004</v>
      </c>
      <c r="H91" s="19">
        <f t="shared" si="2"/>
        <v>625.44</v>
      </c>
      <c r="I91" s="19">
        <f t="shared" si="2"/>
        <v>692.52</v>
      </c>
      <c r="J91" s="19">
        <f t="shared" si="2"/>
        <v>831.48</v>
      </c>
      <c r="K91" s="19">
        <f t="shared" si="2"/>
        <v>1132.96</v>
      </c>
      <c r="L91" s="19">
        <f t="shared" si="2"/>
        <v>1372.68</v>
      </c>
      <c r="M91" s="19">
        <f t="shared" si="2"/>
        <v>1565.52</v>
      </c>
      <c r="N91" s="20">
        <f t="shared" si="2"/>
        <v>1869.52</v>
      </c>
      <c r="O91" s="1"/>
      <c r="P91" s="1"/>
    </row>
    <row r="92" spans="1:16" ht="12.75" customHeight="1">
      <c r="A92" s="1"/>
      <c r="B92" s="1"/>
      <c r="C92" s="25">
        <v>9000</v>
      </c>
      <c r="D92" s="29">
        <f t="shared" si="2"/>
        <v>104.64</v>
      </c>
      <c r="E92" s="16">
        <f t="shared" si="2"/>
        <v>260.64</v>
      </c>
      <c r="F92" s="16">
        <f t="shared" si="2"/>
        <v>476.16</v>
      </c>
      <c r="G92" s="16">
        <f t="shared" si="2"/>
        <v>543</v>
      </c>
      <c r="H92" s="16">
        <f t="shared" si="2"/>
        <v>681.48</v>
      </c>
      <c r="I92" s="16">
        <f t="shared" si="2"/>
        <v>754.52</v>
      </c>
      <c r="J92" s="16">
        <f t="shared" si="2"/>
        <v>905.96</v>
      </c>
      <c r="K92" s="16">
        <f t="shared" si="2"/>
        <v>1233.48</v>
      </c>
      <c r="L92" s="16">
        <f t="shared" si="2"/>
        <v>1494.44</v>
      </c>
      <c r="M92" s="16">
        <f t="shared" si="2"/>
        <v>1704.4</v>
      </c>
      <c r="N92" s="17">
        <f t="shared" si="2"/>
        <v>2035.3600000000001</v>
      </c>
      <c r="O92" s="1"/>
      <c r="P92" s="1"/>
    </row>
    <row r="93" spans="1:16" ht="12.75" customHeight="1">
      <c r="A93" s="1"/>
      <c r="B93" s="1"/>
      <c r="C93" s="24">
        <v>10000</v>
      </c>
      <c r="D93" s="28">
        <f t="shared" si="2"/>
        <v>113.56</v>
      </c>
      <c r="E93" s="19">
        <f t="shared" si="2"/>
        <v>280.76</v>
      </c>
      <c r="F93" s="19">
        <f t="shared" si="2"/>
        <v>514.72</v>
      </c>
      <c r="G93" s="19">
        <f t="shared" si="2"/>
        <v>586.96</v>
      </c>
      <c r="H93" s="19">
        <f t="shared" si="2"/>
        <v>717.16</v>
      </c>
      <c r="I93" s="19">
        <f t="shared" si="2"/>
        <v>794.08</v>
      </c>
      <c r="J93" s="19">
        <f t="shared" si="2"/>
        <v>953.44</v>
      </c>
      <c r="K93" s="19">
        <f t="shared" si="2"/>
        <v>1324.84</v>
      </c>
      <c r="L93" s="19">
        <f t="shared" si="2"/>
        <v>1605.16</v>
      </c>
      <c r="M93" s="19">
        <f t="shared" si="2"/>
        <v>1830.64</v>
      </c>
      <c r="N93" s="20">
        <f t="shared" si="2"/>
        <v>2186.12</v>
      </c>
      <c r="O93" s="1"/>
      <c r="P93" s="1"/>
    </row>
    <row r="94" spans="1:16" ht="12.75" customHeight="1">
      <c r="A94" s="1"/>
      <c r="B94" s="1"/>
      <c r="C94" s="25">
        <v>12500</v>
      </c>
      <c r="D94" s="29">
        <f t="shared" si="2"/>
        <v>131.88</v>
      </c>
      <c r="E94" s="16">
        <f t="shared" si="2"/>
        <v>328.92</v>
      </c>
      <c r="F94" s="16">
        <f t="shared" si="2"/>
        <v>598.52</v>
      </c>
      <c r="G94" s="16">
        <f t="shared" si="2"/>
        <v>682.52</v>
      </c>
      <c r="H94" s="16">
        <f t="shared" si="2"/>
        <v>850.28</v>
      </c>
      <c r="I94" s="16">
        <f t="shared" si="2"/>
        <v>941.48</v>
      </c>
      <c r="J94" s="16">
        <f t="shared" si="2"/>
        <v>1130.4</v>
      </c>
      <c r="K94" s="16">
        <f t="shared" si="2"/>
        <v>1535.48</v>
      </c>
      <c r="L94" s="16">
        <f t="shared" si="2"/>
        <v>1860.3600000000001</v>
      </c>
      <c r="M94" s="16">
        <f t="shared" si="2"/>
        <v>2121.7200000000003</v>
      </c>
      <c r="N94" s="17">
        <f t="shared" si="2"/>
        <v>2533.76</v>
      </c>
      <c r="O94" s="1"/>
      <c r="P94" s="1"/>
    </row>
    <row r="95" spans="1:16" ht="12.75" customHeight="1">
      <c r="A95" s="1"/>
      <c r="B95" s="1"/>
      <c r="C95" s="24">
        <v>15000</v>
      </c>
      <c r="D95" s="28">
        <f t="shared" si="2"/>
        <v>150.20000000000002</v>
      </c>
      <c r="E95" s="19">
        <f t="shared" si="2"/>
        <v>370.44</v>
      </c>
      <c r="F95" s="19">
        <f t="shared" si="2"/>
        <v>671.52</v>
      </c>
      <c r="G95" s="19">
        <f t="shared" si="2"/>
        <v>765.76</v>
      </c>
      <c r="H95" s="19">
        <f t="shared" si="2"/>
        <v>955.72</v>
      </c>
      <c r="I95" s="19">
        <f t="shared" si="2"/>
        <v>1058.2</v>
      </c>
      <c r="J95" s="19">
        <f t="shared" si="2"/>
        <v>1270.56</v>
      </c>
      <c r="K95" s="19">
        <f t="shared" si="2"/>
        <v>1728.3600000000001</v>
      </c>
      <c r="L95" s="19">
        <f t="shared" si="2"/>
        <v>2094.08</v>
      </c>
      <c r="M95" s="19">
        <f t="shared" si="2"/>
        <v>2388.28</v>
      </c>
      <c r="N95" s="20">
        <f t="shared" si="2"/>
        <v>2852.04</v>
      </c>
      <c r="O95" s="1"/>
      <c r="P95" s="1"/>
    </row>
    <row r="96" spans="1:16" ht="12.75" customHeight="1">
      <c r="A96" s="1"/>
      <c r="B96" s="1"/>
      <c r="C96" s="25">
        <v>17500</v>
      </c>
      <c r="D96" s="29">
        <f t="shared" si="2"/>
        <v>165.8</v>
      </c>
      <c r="E96" s="16">
        <f t="shared" si="2"/>
        <v>406.44</v>
      </c>
      <c r="F96" s="16">
        <f t="shared" si="2"/>
        <v>737.36</v>
      </c>
      <c r="G96" s="16">
        <f t="shared" si="2"/>
        <v>840.84</v>
      </c>
      <c r="H96" s="16">
        <f t="shared" si="2"/>
        <v>1045</v>
      </c>
      <c r="I96" s="16">
        <f t="shared" si="2"/>
        <v>1157</v>
      </c>
      <c r="J96" s="16">
        <f t="shared" si="2"/>
        <v>1389.24</v>
      </c>
      <c r="K96" s="16">
        <f t="shared" si="2"/>
        <v>1883.2</v>
      </c>
      <c r="L96" s="16">
        <f t="shared" si="2"/>
        <v>2281.64</v>
      </c>
      <c r="M96" s="16">
        <f t="shared" si="2"/>
        <v>2602.2000000000003</v>
      </c>
      <c r="N96" s="17">
        <f t="shared" si="2"/>
        <v>3107.48</v>
      </c>
      <c r="O96" s="1"/>
      <c r="P96" s="1"/>
    </row>
    <row r="97" spans="1:16" ht="12.75" customHeight="1">
      <c r="A97" s="1"/>
      <c r="B97" s="1"/>
      <c r="C97" s="24">
        <v>20000</v>
      </c>
      <c r="D97" s="28">
        <f t="shared" si="2"/>
        <v>180.08</v>
      </c>
      <c r="E97" s="19">
        <f t="shared" si="2"/>
        <v>443.96000000000004</v>
      </c>
      <c r="F97" s="19">
        <f t="shared" si="2"/>
        <v>799.6</v>
      </c>
      <c r="G97" s="19">
        <f t="shared" si="2"/>
        <v>911.84</v>
      </c>
      <c r="H97" s="19">
        <f t="shared" si="2"/>
        <v>1132.72</v>
      </c>
      <c r="I97" s="19">
        <f t="shared" si="2"/>
        <v>1254.16</v>
      </c>
      <c r="J97" s="19">
        <f t="shared" si="2"/>
        <v>1505.84</v>
      </c>
      <c r="K97" s="19">
        <f t="shared" si="2"/>
        <v>2030.4</v>
      </c>
      <c r="L97" s="19">
        <f t="shared" si="2"/>
        <v>2460</v>
      </c>
      <c r="M97" s="19">
        <f t="shared" si="2"/>
        <v>2805.6</v>
      </c>
      <c r="N97" s="20">
        <f t="shared" si="2"/>
        <v>3350.4</v>
      </c>
      <c r="O97" s="1"/>
      <c r="P97" s="1"/>
    </row>
    <row r="98" spans="1:16" ht="12.75" customHeight="1">
      <c r="A98" s="1"/>
      <c r="B98" s="1"/>
      <c r="C98" s="25">
        <v>22500</v>
      </c>
      <c r="D98" s="29">
        <f t="shared" si="2"/>
        <v>193.52</v>
      </c>
      <c r="E98" s="16">
        <f t="shared" si="2"/>
        <v>472.96000000000004</v>
      </c>
      <c r="F98" s="16">
        <f t="shared" si="2"/>
        <v>845.6800000000001</v>
      </c>
      <c r="G98" s="16">
        <f t="shared" si="2"/>
        <v>964.36</v>
      </c>
      <c r="H98" s="16">
        <f t="shared" si="2"/>
        <v>1198.1200000000001</v>
      </c>
      <c r="I98" s="16">
        <f t="shared" si="2"/>
        <v>1326.56</v>
      </c>
      <c r="J98" s="16">
        <f t="shared" si="2"/>
        <v>1592.8</v>
      </c>
      <c r="K98" s="16">
        <f t="shared" si="2"/>
        <v>2147.16</v>
      </c>
      <c r="L98" s="16">
        <f t="shared" si="2"/>
        <v>2601.44</v>
      </c>
      <c r="M98" s="16">
        <f t="shared" si="2"/>
        <v>2966.92</v>
      </c>
      <c r="N98" s="17">
        <f t="shared" si="2"/>
        <v>3543.04</v>
      </c>
      <c r="O98" s="1"/>
      <c r="P98" s="1"/>
    </row>
    <row r="99" spans="1:16" ht="12.75" customHeight="1">
      <c r="A99" s="1"/>
      <c r="B99" s="1"/>
      <c r="C99" s="24">
        <v>25000</v>
      </c>
      <c r="D99" s="28">
        <f t="shared" si="2"/>
        <v>204.96</v>
      </c>
      <c r="E99" s="19">
        <f t="shared" si="2"/>
        <v>496.12</v>
      </c>
      <c r="F99" s="19">
        <f t="shared" si="2"/>
        <v>897.76</v>
      </c>
      <c r="G99" s="19">
        <f t="shared" si="2"/>
        <v>1023.76</v>
      </c>
      <c r="H99" s="19">
        <f t="shared" si="2"/>
        <v>1262</v>
      </c>
      <c r="I99" s="19">
        <f t="shared" si="2"/>
        <v>1397.28</v>
      </c>
      <c r="J99" s="19">
        <f t="shared" si="2"/>
        <v>1677.72</v>
      </c>
      <c r="K99" s="19">
        <f t="shared" si="2"/>
        <v>2271.52</v>
      </c>
      <c r="L99" s="19">
        <f t="shared" si="2"/>
        <v>2752.12</v>
      </c>
      <c r="M99" s="19">
        <f t="shared" si="2"/>
        <v>3138.76</v>
      </c>
      <c r="N99" s="20">
        <f t="shared" si="2"/>
        <v>3748.28</v>
      </c>
      <c r="O99" s="1"/>
      <c r="P99" s="1"/>
    </row>
    <row r="100" spans="1:16" ht="12.75" customHeight="1">
      <c r="A100" s="1"/>
      <c r="B100" s="1"/>
      <c r="C100" s="25">
        <v>27500</v>
      </c>
      <c r="D100" s="29">
        <f t="shared" si="2"/>
        <v>214.36</v>
      </c>
      <c r="E100" s="16">
        <f t="shared" si="2"/>
        <v>521.48</v>
      </c>
      <c r="F100" s="16">
        <f t="shared" si="2"/>
        <v>934.84</v>
      </c>
      <c r="G100" s="16">
        <f t="shared" si="2"/>
        <v>1066.08</v>
      </c>
      <c r="H100" s="16">
        <f t="shared" si="2"/>
        <v>1312</v>
      </c>
      <c r="I100" s="16">
        <f t="shared" si="2"/>
        <v>1452.68</v>
      </c>
      <c r="J100" s="16">
        <f t="shared" si="2"/>
        <v>1744.2</v>
      </c>
      <c r="K100" s="16">
        <f t="shared" si="2"/>
        <v>2345.12</v>
      </c>
      <c r="L100" s="16">
        <f t="shared" si="2"/>
        <v>2841.32</v>
      </c>
      <c r="M100" s="16">
        <f t="shared" si="2"/>
        <v>3240.48</v>
      </c>
      <c r="N100" s="17">
        <f t="shared" si="2"/>
        <v>3869.7200000000003</v>
      </c>
      <c r="O100" s="1"/>
      <c r="P100" s="1"/>
    </row>
    <row r="101" spans="1:16" ht="12.75" customHeight="1">
      <c r="A101" s="1"/>
      <c r="B101" s="1"/>
      <c r="C101" s="24">
        <v>30000</v>
      </c>
      <c r="D101" s="28">
        <f t="shared" si="2"/>
        <v>221.76</v>
      </c>
      <c r="E101" s="19">
        <f t="shared" si="2"/>
        <v>538.04</v>
      </c>
      <c r="F101" s="19">
        <f t="shared" si="2"/>
        <v>969.5600000000001</v>
      </c>
      <c r="G101" s="19">
        <f t="shared" si="2"/>
        <v>1105.64</v>
      </c>
      <c r="H101" s="19">
        <f t="shared" si="2"/>
        <v>1357.4</v>
      </c>
      <c r="I101" s="19">
        <f t="shared" si="2"/>
        <v>1502.92</v>
      </c>
      <c r="J101" s="19">
        <f t="shared" si="2"/>
        <v>1804.56</v>
      </c>
      <c r="K101" s="19">
        <f t="shared" si="2"/>
        <v>2451.7200000000003</v>
      </c>
      <c r="L101" s="19">
        <f t="shared" si="2"/>
        <v>2970.44</v>
      </c>
      <c r="M101" s="19">
        <f t="shared" si="2"/>
        <v>3387.76</v>
      </c>
      <c r="N101" s="20">
        <f t="shared" si="2"/>
        <v>4045.6</v>
      </c>
      <c r="O101" s="1"/>
      <c r="P101" s="1"/>
    </row>
    <row r="102" spans="1:16" ht="12.75" customHeight="1">
      <c r="A102" s="1"/>
      <c r="B102" s="1"/>
      <c r="C102" s="25">
        <v>32500</v>
      </c>
      <c r="D102" s="29">
        <f t="shared" si="2"/>
        <v>229.32</v>
      </c>
      <c r="E102" s="16">
        <f t="shared" si="2"/>
        <v>563.76</v>
      </c>
      <c r="F102" s="16">
        <f t="shared" si="2"/>
        <v>1019.24</v>
      </c>
      <c r="G102" s="16">
        <f t="shared" si="2"/>
        <v>1162.28</v>
      </c>
      <c r="H102" s="16">
        <f t="shared" si="2"/>
        <v>1440.52</v>
      </c>
      <c r="I102" s="16">
        <f t="shared" si="2"/>
        <v>1594.96</v>
      </c>
      <c r="J102" s="16">
        <f t="shared" si="2"/>
        <v>1915.04</v>
      </c>
      <c r="K102" s="16">
        <f t="shared" si="2"/>
        <v>2590.04</v>
      </c>
      <c r="L102" s="16">
        <f t="shared" si="2"/>
        <v>3138.04</v>
      </c>
      <c r="M102" s="16">
        <f t="shared" si="2"/>
        <v>3578.88</v>
      </c>
      <c r="N102" s="17">
        <f t="shared" si="2"/>
        <v>4273.84</v>
      </c>
      <c r="O102" s="1"/>
      <c r="P102" s="1"/>
    </row>
    <row r="103" spans="1:16" ht="12.75" customHeight="1">
      <c r="A103" s="1"/>
      <c r="B103" s="1"/>
      <c r="C103" s="24">
        <v>35000</v>
      </c>
      <c r="D103" s="28">
        <f t="shared" si="2"/>
        <v>237.56</v>
      </c>
      <c r="E103" s="19">
        <f t="shared" si="2"/>
        <v>586.52</v>
      </c>
      <c r="F103" s="19">
        <f t="shared" si="2"/>
        <v>1055.76</v>
      </c>
      <c r="G103" s="19">
        <f t="shared" si="2"/>
        <v>1203.92</v>
      </c>
      <c r="H103" s="19">
        <f t="shared" si="2"/>
        <v>1497.44</v>
      </c>
      <c r="I103" s="19">
        <f t="shared" si="2"/>
        <v>1658</v>
      </c>
      <c r="J103" s="19">
        <f t="shared" si="2"/>
        <v>1990.76</v>
      </c>
      <c r="K103" s="19">
        <f t="shared" si="2"/>
        <v>2682.68</v>
      </c>
      <c r="L103" s="19">
        <f t="shared" si="2"/>
        <v>3250.28</v>
      </c>
      <c r="M103" s="19">
        <f t="shared" si="2"/>
        <v>3706.88</v>
      </c>
      <c r="N103" s="20">
        <f t="shared" si="2"/>
        <v>4426.72</v>
      </c>
      <c r="O103" s="1"/>
      <c r="P103" s="1"/>
    </row>
    <row r="104" spans="1:16" ht="12.75" customHeight="1">
      <c r="A104" s="1"/>
      <c r="B104" s="1"/>
      <c r="C104" s="25">
        <v>37500</v>
      </c>
      <c r="D104" s="29">
        <f aca="true" t="shared" si="3" ref="D104:N115">PRODUCT(D42,4/100)</f>
        <v>246.96</v>
      </c>
      <c r="E104" s="16">
        <f t="shared" si="3"/>
        <v>606.36</v>
      </c>
      <c r="F104" s="16">
        <f t="shared" si="3"/>
        <v>1095.24</v>
      </c>
      <c r="G104" s="16">
        <f t="shared" si="3"/>
        <v>1248.96</v>
      </c>
      <c r="H104" s="16">
        <f t="shared" si="3"/>
        <v>1546.68</v>
      </c>
      <c r="I104" s="16">
        <f t="shared" si="3"/>
        <v>1712.52</v>
      </c>
      <c r="J104" s="16">
        <f t="shared" si="3"/>
        <v>2056.2400000000002</v>
      </c>
      <c r="K104" s="16">
        <f t="shared" si="3"/>
        <v>2779.12</v>
      </c>
      <c r="L104" s="16">
        <f t="shared" si="3"/>
        <v>3367.12</v>
      </c>
      <c r="M104" s="16">
        <f t="shared" si="3"/>
        <v>3840.16</v>
      </c>
      <c r="N104" s="17">
        <f t="shared" si="3"/>
        <v>4585.88</v>
      </c>
      <c r="O104" s="1"/>
      <c r="P104" s="1"/>
    </row>
    <row r="105" spans="1:16" ht="12.75" customHeight="1">
      <c r="A105" s="1"/>
      <c r="B105" s="1"/>
      <c r="C105" s="24">
        <v>40000</v>
      </c>
      <c r="D105" s="28">
        <f t="shared" si="3"/>
        <v>255.36</v>
      </c>
      <c r="E105" s="19">
        <f t="shared" si="3"/>
        <v>629.16</v>
      </c>
      <c r="F105" s="19">
        <f t="shared" si="3"/>
        <v>1129.96</v>
      </c>
      <c r="G105" s="19">
        <f t="shared" si="3"/>
        <v>1288.56</v>
      </c>
      <c r="H105" s="19">
        <f t="shared" si="3"/>
        <v>1600.56</v>
      </c>
      <c r="I105" s="19">
        <f t="shared" si="3"/>
        <v>1772.16</v>
      </c>
      <c r="J105" s="19">
        <f t="shared" si="3"/>
        <v>2127.84</v>
      </c>
      <c r="K105" s="19">
        <f t="shared" si="3"/>
        <v>2862.88</v>
      </c>
      <c r="L105" s="19">
        <f t="shared" si="3"/>
        <v>3468.6</v>
      </c>
      <c r="M105" s="19">
        <f t="shared" si="3"/>
        <v>3955.88</v>
      </c>
      <c r="N105" s="20">
        <f t="shared" si="3"/>
        <v>4724.08</v>
      </c>
      <c r="O105" s="1"/>
      <c r="P105" s="1"/>
    </row>
    <row r="106" spans="1:16" ht="12.75" customHeight="1">
      <c r="A106" s="1"/>
      <c r="B106" s="1"/>
      <c r="C106" s="25">
        <v>42500</v>
      </c>
      <c r="D106" s="29">
        <f t="shared" si="3"/>
        <v>262.76</v>
      </c>
      <c r="E106" s="16">
        <f t="shared" si="3"/>
        <v>649.76</v>
      </c>
      <c r="F106" s="16">
        <f t="shared" si="3"/>
        <v>1170.08</v>
      </c>
      <c r="G106" s="16">
        <f t="shared" si="3"/>
        <v>1334.28</v>
      </c>
      <c r="H106" s="16">
        <f t="shared" si="3"/>
        <v>1648.28</v>
      </c>
      <c r="I106" s="16">
        <f t="shared" si="3"/>
        <v>1825</v>
      </c>
      <c r="J106" s="16">
        <f t="shared" si="3"/>
        <v>2191.28</v>
      </c>
      <c r="K106" s="16">
        <f t="shared" si="3"/>
        <v>2955.52</v>
      </c>
      <c r="L106" s="16">
        <f t="shared" si="3"/>
        <v>3580.84</v>
      </c>
      <c r="M106" s="16">
        <f t="shared" si="3"/>
        <v>4083.92</v>
      </c>
      <c r="N106" s="17">
        <f t="shared" si="3"/>
        <v>4876.92</v>
      </c>
      <c r="O106" s="1"/>
      <c r="P106" s="1"/>
    </row>
    <row r="107" spans="1:16" ht="12.75" customHeight="1">
      <c r="A107" s="1"/>
      <c r="B107" s="1"/>
      <c r="C107" s="24">
        <v>45000</v>
      </c>
      <c r="D107" s="28">
        <f t="shared" si="3"/>
        <v>269.12</v>
      </c>
      <c r="E107" s="19">
        <f t="shared" si="3"/>
        <v>668.12</v>
      </c>
      <c r="F107" s="19">
        <f t="shared" si="3"/>
        <v>1195.8</v>
      </c>
      <c r="G107" s="19">
        <f t="shared" si="3"/>
        <v>1363.64</v>
      </c>
      <c r="H107" s="19">
        <f t="shared" si="3"/>
        <v>1703.68</v>
      </c>
      <c r="I107" s="19">
        <f t="shared" si="3"/>
        <v>1886.32</v>
      </c>
      <c r="J107" s="19">
        <f t="shared" si="3"/>
        <v>2264.92</v>
      </c>
      <c r="K107" s="19">
        <f t="shared" si="3"/>
        <v>3038</v>
      </c>
      <c r="L107" s="19">
        <f t="shared" si="3"/>
        <v>3680.76</v>
      </c>
      <c r="M107" s="19">
        <f t="shared" si="3"/>
        <v>4197.88</v>
      </c>
      <c r="N107" s="20">
        <f t="shared" si="3"/>
        <v>5013.04</v>
      </c>
      <c r="O107" s="1"/>
      <c r="P107" s="1"/>
    </row>
    <row r="108" spans="1:16" ht="12.75" customHeight="1">
      <c r="A108" s="1"/>
      <c r="B108" s="1"/>
      <c r="C108" s="25">
        <v>47500</v>
      </c>
      <c r="D108" s="29">
        <f t="shared" si="3"/>
        <v>277.72</v>
      </c>
      <c r="E108" s="16">
        <f t="shared" si="3"/>
        <v>684.28</v>
      </c>
      <c r="F108" s="16">
        <f t="shared" si="3"/>
        <v>1228.1200000000001</v>
      </c>
      <c r="G108" s="16">
        <f t="shared" si="3"/>
        <v>1400.48</v>
      </c>
      <c r="H108" s="16">
        <f t="shared" si="3"/>
        <v>1739.8400000000001</v>
      </c>
      <c r="I108" s="16">
        <f t="shared" si="3"/>
        <v>1926.3600000000001</v>
      </c>
      <c r="J108" s="16">
        <f t="shared" si="3"/>
        <v>2313</v>
      </c>
      <c r="K108" s="16">
        <f t="shared" si="3"/>
        <v>3134.44</v>
      </c>
      <c r="L108" s="16">
        <f t="shared" si="3"/>
        <v>3797.64</v>
      </c>
      <c r="M108" s="16">
        <f t="shared" si="3"/>
        <v>4331.16</v>
      </c>
      <c r="N108" s="17">
        <f t="shared" si="3"/>
        <v>5172.2</v>
      </c>
      <c r="O108" s="1"/>
      <c r="P108" s="1"/>
    </row>
    <row r="109" spans="1:16" ht="12.75" customHeight="1">
      <c r="A109" s="1"/>
      <c r="B109" s="1"/>
      <c r="C109" s="24">
        <v>50000</v>
      </c>
      <c r="D109" s="28">
        <f t="shared" si="3"/>
        <v>285.6</v>
      </c>
      <c r="E109" s="19">
        <f t="shared" si="3"/>
        <v>705.6</v>
      </c>
      <c r="F109" s="19">
        <f t="shared" si="3"/>
        <v>1256.84</v>
      </c>
      <c r="G109" s="19">
        <f t="shared" si="3"/>
        <v>1433.24</v>
      </c>
      <c r="H109" s="19">
        <f t="shared" si="3"/>
        <v>1785.24</v>
      </c>
      <c r="I109" s="19">
        <f t="shared" si="3"/>
        <v>1976.64</v>
      </c>
      <c r="J109" s="19">
        <f t="shared" si="3"/>
        <v>2373.36</v>
      </c>
      <c r="K109" s="19">
        <f t="shared" si="3"/>
        <v>3197.88</v>
      </c>
      <c r="L109" s="19">
        <f t="shared" si="3"/>
        <v>3874.52</v>
      </c>
      <c r="M109" s="19">
        <f t="shared" si="3"/>
        <v>4418.84</v>
      </c>
      <c r="N109" s="20">
        <f t="shared" si="3"/>
        <v>5276.88</v>
      </c>
      <c r="O109" s="1"/>
      <c r="P109" s="1"/>
    </row>
    <row r="110" spans="1:16" ht="12.75" customHeight="1">
      <c r="A110" s="1"/>
      <c r="B110" s="1"/>
      <c r="C110" s="25">
        <v>55000</v>
      </c>
      <c r="D110" s="29">
        <f t="shared" si="3"/>
        <v>299.36</v>
      </c>
      <c r="E110" s="16">
        <f t="shared" si="3"/>
        <v>735.72</v>
      </c>
      <c r="F110" s="16">
        <f t="shared" si="3"/>
        <v>1316.72</v>
      </c>
      <c r="G110" s="16">
        <f t="shared" si="3"/>
        <v>1501.52</v>
      </c>
      <c r="H110" s="16">
        <f t="shared" si="3"/>
        <v>1879.1200000000001</v>
      </c>
      <c r="I110" s="16">
        <f t="shared" si="3"/>
        <v>2080.6</v>
      </c>
      <c r="J110" s="16">
        <f t="shared" si="3"/>
        <v>2498.16</v>
      </c>
      <c r="K110" s="16">
        <f t="shared" si="3"/>
        <v>3350.16</v>
      </c>
      <c r="L110" s="16">
        <f t="shared" si="3"/>
        <v>4059</v>
      </c>
      <c r="M110" s="16">
        <f t="shared" si="3"/>
        <v>4629.24</v>
      </c>
      <c r="N110" s="17">
        <f t="shared" si="3"/>
        <v>5528.16</v>
      </c>
      <c r="O110" s="1"/>
      <c r="P110" s="1"/>
    </row>
    <row r="111" spans="1:16" ht="12.75" customHeight="1">
      <c r="A111" s="1"/>
      <c r="B111" s="1"/>
      <c r="C111" s="24">
        <v>60000</v>
      </c>
      <c r="D111" s="28">
        <f t="shared" si="3"/>
        <v>310.48</v>
      </c>
      <c r="E111" s="19">
        <f t="shared" si="3"/>
        <v>767.36</v>
      </c>
      <c r="F111" s="19">
        <f t="shared" si="3"/>
        <v>1378.96</v>
      </c>
      <c r="G111" s="19">
        <f t="shared" si="3"/>
        <v>1572.48</v>
      </c>
      <c r="H111" s="19">
        <f t="shared" si="3"/>
        <v>1957.6000000000001</v>
      </c>
      <c r="I111" s="19">
        <f t="shared" si="3"/>
        <v>2167.48</v>
      </c>
      <c r="J111" s="19">
        <f t="shared" si="3"/>
        <v>2602.52</v>
      </c>
      <c r="K111" s="19">
        <f t="shared" si="3"/>
        <v>3502.44</v>
      </c>
      <c r="L111" s="19">
        <f t="shared" si="3"/>
        <v>4243.52</v>
      </c>
      <c r="M111" s="19">
        <f t="shared" si="3"/>
        <v>4839.68</v>
      </c>
      <c r="N111" s="20">
        <f t="shared" si="3"/>
        <v>5779.4400000000005</v>
      </c>
      <c r="O111" s="1"/>
      <c r="P111" s="1"/>
    </row>
    <row r="112" spans="1:16" ht="12.75" customHeight="1">
      <c r="A112" s="1"/>
      <c r="B112" s="1"/>
      <c r="C112" s="25">
        <v>65000</v>
      </c>
      <c r="D112" s="29">
        <f t="shared" si="3"/>
        <v>323.24</v>
      </c>
      <c r="E112" s="16">
        <f t="shared" si="3"/>
        <v>802.64</v>
      </c>
      <c r="F112" s="16">
        <f t="shared" si="3"/>
        <v>1447.16</v>
      </c>
      <c r="G112" s="16">
        <f t="shared" si="3"/>
        <v>1650.28</v>
      </c>
      <c r="H112" s="16">
        <f t="shared" si="3"/>
        <v>2040.72</v>
      </c>
      <c r="I112" s="16">
        <f t="shared" si="3"/>
        <v>2259.52</v>
      </c>
      <c r="J112" s="16">
        <f t="shared" si="3"/>
        <v>2713</v>
      </c>
      <c r="K112" s="16">
        <f t="shared" si="3"/>
        <v>3662.32</v>
      </c>
      <c r="L112" s="16">
        <f t="shared" si="3"/>
        <v>4437.24</v>
      </c>
      <c r="M112" s="16">
        <f t="shared" si="3"/>
        <v>5060.6</v>
      </c>
      <c r="N112" s="17">
        <f t="shared" si="3"/>
        <v>6043.28</v>
      </c>
      <c r="O112" s="1"/>
      <c r="P112" s="1"/>
    </row>
    <row r="113" spans="1:16" ht="12.75" customHeight="1">
      <c r="A113" s="1"/>
      <c r="B113" s="1"/>
      <c r="C113" s="24">
        <v>70000</v>
      </c>
      <c r="D113" s="28">
        <f t="shared" si="3"/>
        <v>338.68</v>
      </c>
      <c r="E113" s="19">
        <f t="shared" si="3"/>
        <v>833.48</v>
      </c>
      <c r="F113" s="19">
        <f t="shared" si="3"/>
        <v>1491.48</v>
      </c>
      <c r="G113" s="19">
        <f t="shared" si="3"/>
        <v>1700.8</v>
      </c>
      <c r="H113" s="19">
        <f t="shared" si="3"/>
        <v>2111.52</v>
      </c>
      <c r="I113" s="19">
        <f t="shared" si="3"/>
        <v>2337.88</v>
      </c>
      <c r="J113" s="19">
        <f t="shared" si="3"/>
        <v>2807.12</v>
      </c>
      <c r="K113" s="19">
        <f t="shared" si="3"/>
        <v>3801.92</v>
      </c>
      <c r="L113" s="19">
        <f t="shared" si="3"/>
        <v>4606.36</v>
      </c>
      <c r="M113" s="19">
        <f t="shared" si="3"/>
        <v>5253.4800000000005</v>
      </c>
      <c r="N113" s="20">
        <f t="shared" si="3"/>
        <v>6273.64</v>
      </c>
      <c r="O113" s="1"/>
      <c r="P113" s="1"/>
    </row>
    <row r="114" spans="1:16" ht="12.75" customHeight="1">
      <c r="A114" s="1"/>
      <c r="B114" s="1"/>
      <c r="C114" s="25">
        <v>75000</v>
      </c>
      <c r="D114" s="29">
        <f t="shared" si="3"/>
        <v>347.76</v>
      </c>
      <c r="E114" s="16">
        <f t="shared" si="3"/>
        <v>859.96</v>
      </c>
      <c r="F114" s="16">
        <f t="shared" si="3"/>
        <v>1544.1200000000001</v>
      </c>
      <c r="G114" s="16">
        <f t="shared" si="3"/>
        <v>1760.8400000000001</v>
      </c>
      <c r="H114" s="16">
        <f t="shared" si="3"/>
        <v>2193.08</v>
      </c>
      <c r="I114" s="16">
        <f t="shared" si="3"/>
        <v>2428.2000000000003</v>
      </c>
      <c r="J114" s="16">
        <f t="shared" si="3"/>
        <v>2915.56</v>
      </c>
      <c r="K114" s="16">
        <f t="shared" si="3"/>
        <v>3921.2000000000003</v>
      </c>
      <c r="L114" s="16">
        <f t="shared" si="3"/>
        <v>4750.88</v>
      </c>
      <c r="M114" s="16">
        <f t="shared" si="3"/>
        <v>5418.32</v>
      </c>
      <c r="N114" s="17">
        <f t="shared" si="3"/>
        <v>6470.4800000000005</v>
      </c>
      <c r="O114" s="1"/>
      <c r="P114" s="1"/>
    </row>
    <row r="115" spans="1:16" ht="12.75" customHeight="1" thickBot="1">
      <c r="A115" s="1"/>
      <c r="B115" s="1"/>
      <c r="C115" s="26">
        <v>80000</v>
      </c>
      <c r="D115" s="30">
        <f t="shared" si="3"/>
        <v>360.2</v>
      </c>
      <c r="E115" s="21">
        <f t="shared" si="3"/>
        <v>882</v>
      </c>
      <c r="F115" s="21">
        <f t="shared" si="3"/>
        <v>1589.6000000000001</v>
      </c>
      <c r="G115" s="21">
        <f t="shared" si="3"/>
        <v>1812.72</v>
      </c>
      <c r="H115" s="21">
        <f t="shared" si="3"/>
        <v>2265.4</v>
      </c>
      <c r="I115" s="21">
        <f t="shared" si="3"/>
        <v>2508.28</v>
      </c>
      <c r="J115" s="21">
        <f t="shared" si="3"/>
        <v>3011.7200000000003</v>
      </c>
      <c r="K115" s="21">
        <f t="shared" si="3"/>
        <v>4060.8</v>
      </c>
      <c r="L115" s="21">
        <f t="shared" si="3"/>
        <v>4920</v>
      </c>
      <c r="M115" s="21">
        <f t="shared" si="3"/>
        <v>5611.2</v>
      </c>
      <c r="N115" s="22">
        <f t="shared" si="3"/>
        <v>6700.8</v>
      </c>
      <c r="O115" s="1"/>
      <c r="P115" s="1"/>
    </row>
    <row r="116" spans="1:16" ht="6" customHeight="1">
      <c r="A116" s="1"/>
      <c r="B116" s="1"/>
      <c r="C116" s="1"/>
      <c r="D116" s="1"/>
      <c r="E116" s="1"/>
      <c r="F116" s="1"/>
      <c r="G116" s="1"/>
      <c r="H116" s="1"/>
      <c r="I116" s="49"/>
      <c r="J116" s="1"/>
      <c r="K116" s="1"/>
      <c r="L116" s="1"/>
      <c r="M116" s="1"/>
      <c r="N116" s="1"/>
      <c r="O116" s="1"/>
      <c r="P116" s="1"/>
    </row>
    <row r="117" spans="1:16" ht="12.75" customHeight="1">
      <c r="A117" s="1"/>
      <c r="B117" s="1"/>
      <c r="C117" s="263" t="s">
        <v>11</v>
      </c>
      <c r="D117" s="5" t="s">
        <v>128</v>
      </c>
      <c r="E117" s="1"/>
      <c r="F117" s="1"/>
      <c r="G117" s="1"/>
      <c r="H117" s="1"/>
      <c r="I117" s="49"/>
      <c r="J117" s="1"/>
      <c r="K117" s="1"/>
      <c r="L117" s="49"/>
      <c r="M117" s="49"/>
      <c r="N117" s="49"/>
      <c r="O117" s="1"/>
      <c r="P117" s="1"/>
    </row>
    <row r="118" spans="1:16" ht="12.75" customHeight="1">
      <c r="A118" s="1"/>
      <c r="B118" s="1"/>
      <c r="C118" s="1"/>
      <c r="D118" s="5" t="s">
        <v>126</v>
      </c>
      <c r="E118" s="1"/>
      <c r="F118" s="1"/>
      <c r="G118" s="1"/>
      <c r="H118" s="1"/>
      <c r="I118" s="49"/>
      <c r="J118" s="1"/>
      <c r="K118" s="1"/>
      <c r="L118" s="49"/>
      <c r="M118" s="49"/>
      <c r="N118" s="49"/>
      <c r="O118" s="1"/>
      <c r="P118" s="1"/>
    </row>
    <row r="119" spans="1:16" ht="12.75" customHeight="1">
      <c r="A119" s="1"/>
      <c r="B119" s="1"/>
      <c r="C119" s="1"/>
      <c r="D119" s="5" t="s">
        <v>137</v>
      </c>
      <c r="E119" s="1"/>
      <c r="F119" s="1"/>
      <c r="G119" s="1"/>
      <c r="H119" s="1"/>
      <c r="I119" s="49"/>
      <c r="J119" s="1"/>
      <c r="K119" s="1"/>
      <c r="L119" s="49"/>
      <c r="M119" s="49"/>
      <c r="N119" s="49"/>
      <c r="O119" s="1"/>
      <c r="P119" s="1"/>
    </row>
    <row r="120" spans="1:16" ht="12.75" customHeight="1">
      <c r="A120" s="1"/>
      <c r="B120" s="1"/>
      <c r="C120" s="1"/>
      <c r="D120" s="5" t="s">
        <v>127</v>
      </c>
      <c r="E120" s="1"/>
      <c r="F120" s="1"/>
      <c r="G120" s="1"/>
      <c r="H120" s="1"/>
      <c r="I120" s="49"/>
      <c r="J120" s="1"/>
      <c r="K120" s="1"/>
      <c r="L120" s="49"/>
      <c r="M120" s="49"/>
      <c r="N120" s="49"/>
      <c r="O120" s="1"/>
      <c r="P120" s="1"/>
    </row>
    <row r="121" spans="1:16" ht="12.75" customHeight="1">
      <c r="A121" s="1"/>
      <c r="B121" s="1"/>
      <c r="C121" s="1"/>
      <c r="D121" s="1"/>
      <c r="E121" s="1"/>
      <c r="F121" s="1"/>
      <c r="G121" s="1"/>
      <c r="H121" s="1"/>
      <c r="I121" s="49"/>
      <c r="J121" s="1"/>
      <c r="K121" s="1"/>
      <c r="L121" s="49"/>
      <c r="M121" s="49"/>
      <c r="N121" s="49"/>
      <c r="O121" s="1"/>
      <c r="P121" s="1"/>
    </row>
    <row r="122" spans="1:1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</sheetData>
  <sheetProtection password="FC5B" sheet="1" objects="1" scenarios="1"/>
  <printOptions horizontalCentered="1" verticalCentered="1"/>
  <pageMargins left="0.31496062992125984" right="0.3149606299212598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</dc:creator>
  <cp:keywords/>
  <dc:description/>
  <cp:lastModifiedBy>KEYGENTR</cp:lastModifiedBy>
  <cp:lastPrinted>2008-06-27T12:58:56Z</cp:lastPrinted>
  <dcterms:created xsi:type="dcterms:W3CDTF">2006-04-12T06:53:13Z</dcterms:created>
  <dcterms:modified xsi:type="dcterms:W3CDTF">2008-11-06T13:10:01Z</dcterms:modified>
  <cp:category/>
  <cp:version/>
  <cp:contentType/>
  <cp:contentStatus/>
</cp:coreProperties>
</file>