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9_0.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1_0.bin" ContentType="application/vnd.openxmlformats-officedocument.oleObject"/>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76" activeTab="7"/>
  </bookViews>
  <sheets>
    <sheet name="BAŞLIK IY" sheetId="1" r:id="rId1"/>
    <sheet name="BAŞLIK KT" sheetId="2" r:id="rId2"/>
    <sheet name="BAŞLIK ST" sheetId="3" r:id="rId3"/>
    <sheet name="V_Ü_2008 2_dönem " sheetId="4" state="hidden" r:id="rId4"/>
    <sheet name="A_Ü_2008 2_dönem" sheetId="5" state="hidden" r:id="rId5"/>
    <sheet name="İNŞAAT SÜRESİ" sheetId="6" state="hidden" r:id="rId6"/>
    <sheet name="ASANSÖR AVAN BAŞLIK" sheetId="7" r:id="rId7"/>
    <sheet name="SÖZLEŞME" sheetId="8" r:id="rId8"/>
    <sheet name="ASGARİ ÜCRET FORMU" sheetId="9" r:id="rId9"/>
    <sheet name="DENETİM BELGESİ" sheetId="10" r:id="rId10"/>
    <sheet name="DG PROJE MÜELLİFİ" sheetId="11" state="hidden" r:id="rId11"/>
    <sheet name="PROJE MÜELLİFİ" sheetId="12" r:id="rId12"/>
    <sheet name="TUS MÜELLİFİ" sheetId="13" r:id="rId13"/>
    <sheet name="TUS TAAHHÜNAMESİ" sheetId="14" r:id="rId14"/>
    <sheet name="PROJE TAAHHÜTNAMESİ" sheetId="15" r:id="rId15"/>
  </sheets>
  <definedNames>
    <definedName name="Excel_BuiltIn_Print_Area_4">'V_Ü_2008 2_dönem '!$A$5:$R$148</definedName>
    <definedName name="Excel_BuiltIn_Print_Area_5">'A_Ü_2008 2_dönem'!$A$5:$R$137</definedName>
    <definedName name="Excel_BuiltIn_Print_Titles_4">'V_Ü_2008 2_dönem '!$1:$3</definedName>
    <definedName name="Excel_BuiltIn_Print_Titles_5">'A_Ü_2008 2_dönem'!$1:$3</definedName>
  </definedNames>
  <calcPr fullCalcOnLoad="1"/>
</workbook>
</file>

<file path=xl/sharedStrings.xml><?xml version="1.0" encoding="utf-8"?>
<sst xmlns="http://schemas.openxmlformats.org/spreadsheetml/2006/main" count="658" uniqueCount="340">
  <si>
    <t>PROJE SORUMLUSU</t>
  </si>
  <si>
    <t>TUS SORUMLUSU</t>
  </si>
  <si>
    <t>ADI SOYADI</t>
  </si>
  <si>
    <t>ODA No.</t>
  </si>
  <si>
    <t>BÜRO TESCİL No.</t>
  </si>
  <si>
    <t>SMM No.</t>
  </si>
  <si>
    <t xml:space="preserve">       MAKİNA  MÜHENDİSLERİ                        ODASI</t>
  </si>
  <si>
    <t xml:space="preserve">VALİLİK / BELEDİYE </t>
  </si>
  <si>
    <t xml:space="preserve">ISI  YALITIM  PROJESİ </t>
  </si>
  <si>
    <t>ARSANIN ÖZELLİKLERİ</t>
  </si>
  <si>
    <t>BELEDİYE</t>
  </si>
  <si>
    <t>İLÇE</t>
  </si>
  <si>
    <t>MAHALLE</t>
  </si>
  <si>
    <t>SOKAK</t>
  </si>
  <si>
    <t>PAFTA</t>
  </si>
  <si>
    <t>ADA</t>
  </si>
  <si>
    <t>PARSEL</t>
  </si>
  <si>
    <t>PROJE No.</t>
  </si>
  <si>
    <t>YAPININ SAHİBİNİN</t>
  </si>
  <si>
    <t>ÇİZEN</t>
  </si>
  <si>
    <t>Adı Soyadı - Adresi</t>
  </si>
  <si>
    <t>YAPININ ÖZELLİKLERİ</t>
  </si>
  <si>
    <t>YAPININ SİSTEMİ</t>
  </si>
  <si>
    <t>YAPININ  SINIFI</t>
  </si>
  <si>
    <t xml:space="preserve"> BİNA          MALİYETİ             (YTL/m²)</t>
  </si>
  <si>
    <t>TOPLAM BAĞIMSIZ BÖLÜM</t>
  </si>
  <si>
    <t>TOPLAM  KAT SAYISI</t>
  </si>
  <si>
    <t>TOPLAM İNŞAAT ALANI (m²)</t>
  </si>
  <si>
    <t>YAPIM SÜRESİ (Ay)</t>
  </si>
  <si>
    <t>KULLANMA AMACI</t>
  </si>
  <si>
    <t xml:space="preserve">KALORİFER  TESİSAT  PROJESİ </t>
  </si>
  <si>
    <t xml:space="preserve">SIHHİ  TESİSAT  PROJESİ </t>
  </si>
  <si>
    <t>YAPI</t>
  </si>
  <si>
    <t>3A</t>
  </si>
  <si>
    <t>3B</t>
  </si>
  <si>
    <t>4A</t>
  </si>
  <si>
    <t>4B</t>
  </si>
  <si>
    <t>4C</t>
  </si>
  <si>
    <t>5A</t>
  </si>
  <si>
    <t>5B</t>
  </si>
  <si>
    <t>5C</t>
  </si>
  <si>
    <t>5D</t>
  </si>
  <si>
    <t>ALANI</t>
  </si>
  <si>
    <t xml:space="preserve"> m ²</t>
  </si>
  <si>
    <t>YTL / m²</t>
  </si>
  <si>
    <t>Not: 1. Bölge katsayısı 0,60 olarak alınmıştır.</t>
  </si>
  <si>
    <t xml:space="preserve">       2. Yeni kuruşlar YTL'ye yuvarlanacaktır.</t>
  </si>
  <si>
    <t xml:space="preserve">       3. Mesleki denetim ücretleri proje ve fenni mesuliyet için ayrı olarak alınacaktır.</t>
  </si>
  <si>
    <t xml:space="preserve">       4. Uygulama katsayısı 1,00 olarak alınmıştır..</t>
  </si>
  <si>
    <t xml:space="preserve">       5. Ara değerlerde enterpolasyon yapılır.</t>
  </si>
  <si>
    <t>Bölge katsayısı</t>
  </si>
  <si>
    <t>Hizmet Bölümü oranı</t>
  </si>
  <si>
    <t>Uygulama katsayısı</t>
  </si>
  <si>
    <t>Hizmet dalı oranı</t>
  </si>
  <si>
    <t>Proje Vize Harcı ;</t>
  </si>
  <si>
    <t>TUS Vize Harcı ;</t>
  </si>
  <si>
    <t>İlk uygulama için</t>
  </si>
  <si>
    <t>İkinci  Uygulama için</t>
  </si>
  <si>
    <t>Ücüncü Uygulama için</t>
  </si>
  <si>
    <t>Dördüncü  ve sonrası uygulamalar için</t>
  </si>
  <si>
    <t>dir</t>
  </si>
  <si>
    <t>Dördüncü  Uygulama için</t>
  </si>
  <si>
    <t>Beşinci  ve sonrası uygulamalar için</t>
  </si>
  <si>
    <t>dİr</t>
  </si>
  <si>
    <t>Asansör Avan Proje Vize Harcı ;</t>
  </si>
  <si>
    <t xml:space="preserve">Asansör Avan Vize Harcı </t>
  </si>
  <si>
    <t>Asgari Vize Harcı</t>
  </si>
  <si>
    <t>m² karşılığı.</t>
  </si>
  <si>
    <t>Ücüncü ve sonrası uygulamalar için</t>
  </si>
  <si>
    <t xml:space="preserve">Asansör Avan Proje Ücreti </t>
  </si>
  <si>
    <t>Asgari İnşaat Alanı</t>
  </si>
  <si>
    <t>m²</t>
  </si>
  <si>
    <t>Proje Hizmetleri Asgari Ücretleri ;</t>
  </si>
  <si>
    <t>TUS Hizmetleri Asgari Ücretleri ;</t>
  </si>
  <si>
    <t>Teknik Uygulama Sorumluluğu hizmetinde ilk uygulamada saptanan asgari ücret, sonraki uygulamalarda da aynen alınır.</t>
  </si>
  <si>
    <t xml:space="preserve"> KAT ALANI (m²)</t>
  </si>
  <si>
    <t>0-100</t>
  </si>
  <si>
    <t>101-200</t>
  </si>
  <si>
    <t>201-300</t>
  </si>
  <si>
    <t>301-400</t>
  </si>
  <si>
    <t>401-500</t>
  </si>
  <si>
    <t>501-600</t>
  </si>
  <si>
    <t>601-700</t>
  </si>
  <si>
    <t>701-800</t>
  </si>
  <si>
    <t>801-900</t>
  </si>
  <si>
    <t>901-1000</t>
  </si>
  <si>
    <t>Kat Adedi</t>
  </si>
  <si>
    <t>1 Kat İnşaat Alanı (m²)</t>
  </si>
  <si>
    <t>=</t>
  </si>
  <si>
    <t>1000 m2 üstü</t>
  </si>
  <si>
    <t>Sütün</t>
  </si>
  <si>
    <t>max</t>
  </si>
  <si>
    <t>Kat yüksekliği</t>
  </si>
  <si>
    <t>İnşaat süresi (Ay) 12 kattan az ise</t>
  </si>
  <si>
    <t>İnşaat süresi (Ay) 12 kattan yukarı ise</t>
  </si>
  <si>
    <t>PROJEYİ HAZIRLAYAN</t>
  </si>
  <si>
    <t>Adı Soyadı</t>
  </si>
  <si>
    <t>Oda Sicil No</t>
  </si>
  <si>
    <t>SSM Büro Tescil No</t>
  </si>
  <si>
    <t>İmza</t>
  </si>
  <si>
    <t>ASANSÖR  AVAN  PROJESİ</t>
  </si>
  <si>
    <t>MMO Onay</t>
  </si>
  <si>
    <t>Valilik / Belediye Onay</t>
  </si>
  <si>
    <t>PROJEYİ YAPTIRAN</t>
  </si>
  <si>
    <t>Adı Soyadı - Ünvanı</t>
  </si>
  <si>
    <t>Adres</t>
  </si>
  <si>
    <t>YAPININ BULUNDUĞU YER</t>
  </si>
  <si>
    <t>İl</t>
  </si>
  <si>
    <t>İlçe</t>
  </si>
  <si>
    <t>Belediye</t>
  </si>
  <si>
    <t>Cad./Sokak</t>
  </si>
  <si>
    <t>No</t>
  </si>
  <si>
    <t>Pafta</t>
  </si>
  <si>
    <t>Ada</t>
  </si>
  <si>
    <t>Parsel</t>
  </si>
  <si>
    <t>PROJENİN ADI</t>
  </si>
  <si>
    <t xml:space="preserve"> KİŞİLİK İNSAN ASANSÖRÜ</t>
  </si>
  <si>
    <t>PROJENİN NUMARASI</t>
  </si>
  <si>
    <t>ASANSÖRÜN</t>
  </si>
  <si>
    <t>Sınıfı</t>
  </si>
  <si>
    <t>Kapasitesi                 (kg)</t>
  </si>
  <si>
    <t>Hızı      (m/s)</t>
  </si>
  <si>
    <t>Durak Adedi</t>
  </si>
  <si>
    <t>Seyir Mesafesi   (m)</t>
  </si>
  <si>
    <t>Motor Gücü          (kW)</t>
  </si>
  <si>
    <t>TMMOB MAKİNA MÜHENDİSLERİ ODASI EDİRNE  ŞUBESİ</t>
  </si>
  <si>
    <t>VİZE No</t>
  </si>
  <si>
    <t>PROJE VE MESLEKİ KONTROLLÜK HİZMETLERİ SÖZLEŞMESİ</t>
  </si>
  <si>
    <t>MADDE 1 : TARAFLAR</t>
  </si>
  <si>
    <t>A)  PROJE MÜELLİFİ / TESCİLLİ BÜRO</t>
  </si>
  <si>
    <t xml:space="preserve">B)  İŞVEREN / MAL SAHİBİ </t>
  </si>
  <si>
    <t>:</t>
  </si>
  <si>
    <r>
      <t xml:space="preserve">Oda sicil </t>
    </r>
    <r>
      <rPr>
        <u val="single"/>
        <sz val="8"/>
        <rFont val="Arial"/>
        <family val="2"/>
      </rPr>
      <t>No</t>
    </r>
  </si>
  <si>
    <t xml:space="preserve">Adresi </t>
  </si>
  <si>
    <t>Büro Adı</t>
  </si>
  <si>
    <t>Telefon</t>
  </si>
  <si>
    <t>Büro tescil</t>
  </si>
  <si>
    <t>Vergi Da.Sic No:</t>
  </si>
  <si>
    <t>Arasında işbu sözleşmede yazılı şartlarda yapılmış olup , taraflar MÜHENDİS ve İŞVEREN adları ile anılmıştır.</t>
  </si>
  <si>
    <t>MADDE 2 : SÖZLEŞME KONUSU</t>
  </si>
  <si>
    <t>İLİ</t>
  </si>
  <si>
    <t>İLÇESİ</t>
  </si>
  <si>
    <t>MAHALLESİ</t>
  </si>
  <si>
    <t>CADDE/SOK.</t>
  </si>
  <si>
    <t>PAFTA No</t>
  </si>
  <si>
    <t>ADA No</t>
  </si>
  <si>
    <t>PARSEL No</t>
  </si>
  <si>
    <t xml:space="preserve">     Yukarıda tanımlanan arsada yapılacak yapının, tesisat pojelerinin hazırlanması,MMO Edirne Şubesi'ne vize etirilmesi, </t>
  </si>
  <si>
    <t>belediyece onaylanması ve Mesleki Kontrolluk Hizmetlerini kapsar.</t>
  </si>
  <si>
    <t xml:space="preserve">MADDE 3 : YAPININ ÖZELLİKLERİ </t>
  </si>
  <si>
    <t>CİNSİ</t>
  </si>
  <si>
    <t>BAĞIMSIZ BÖLÜM ADEDİ</t>
  </si>
  <si>
    <t>KAT ADEDİ</t>
  </si>
  <si>
    <t>TOPL.İNŞ. ALANI (m²)</t>
  </si>
  <si>
    <t>TESİSATIN CİNSİ</t>
  </si>
  <si>
    <t>KEŞİF BEDELİ</t>
  </si>
  <si>
    <t>AZAMİ BİTİRME SÜRESİ</t>
  </si>
  <si>
    <t xml:space="preserve">Konut </t>
  </si>
  <si>
    <t>MADDE 4 : ÜCRET</t>
  </si>
  <si>
    <t xml:space="preserve">   İşveren,mühendis Proje ve Mesleki Kontolluk hizmetleri için toplam olarak</t>
  </si>
  <si>
    <t xml:space="preserve">ödeyecektir. Bu ücretin tutarı </t>
  </si>
  <si>
    <t>olan</t>
  </si>
  <si>
    <t>peşin ödenmiştir.Geriye kalan tutarı olan</t>
  </si>
  <si>
    <t>sı ise</t>
  </si>
  <si>
    <t xml:space="preserve">aylık bonayla </t>
  </si>
  <si>
    <t xml:space="preserve">ödenecektir.İşveren ücretin peşin kısmını ve bonoyu sözleşmenin imzalanması sırasında mühendise verecektir. </t>
  </si>
  <si>
    <t>MADDE 5 : MÜHENDİSİN GÖREV HAK VE SORUMLULUKLARI.</t>
  </si>
  <si>
    <t xml:space="preserve">   Projeler ''Makine Mühendisliği Hizmetleri Proje Asgari Standartları'' ve konu ile ilgili yönetmelik koşullarına uygun olacaktır. </t>
  </si>
  <si>
    <t xml:space="preserve">MADDE 6 : </t>
  </si>
  <si>
    <t xml:space="preserve">     Bu sözleşme ile hazırlanacak bütün projelerin ve eklerinin sahibi, tesisat yapılsın veya yapılmasın '' Fikir ve Sanat Eserleri</t>
  </si>
  <si>
    <t xml:space="preserve">Yasası'' hükümüne göre, mühendisindir. Bunların asılları mühendiste kalır. İşveren,''Fikir ve Sanat Eserleri Yasası'' ' dan dolayı  </t>
  </si>
  <si>
    <t>mühendisin sahip olduğu haklara tamamen uyacağını bildirir. Bu haklara tamamen uymamak bu sözleşmeye de uymamaktır.</t>
  </si>
  <si>
    <t>MADDE 7 : SÖZLEŞMENİN FESHİ</t>
  </si>
  <si>
    <t xml:space="preserve">   İşin tamamında veya bir kısımında vazgeçilmesi veya belirsiz bir zaman ertelenmesi veya bu sözleşmenin hükümlerine aykırı  </t>
  </si>
  <si>
    <t xml:space="preserve">işler ve işlemler yapılması hallerinde karşı taraf bu davranışlarda bulunan tarafa 15 (Onbeş) gün süreli ve noter aracılığı ile bildirimde </t>
  </si>
  <si>
    <t xml:space="preserve">bulunur.Bu süre içersinde bildirimde ileri sürülen hususlar düzeltilmez ve yerine getirilmezse feshi hakkı doğar.Taraflar arasında </t>
  </si>
  <si>
    <t>çıkacak anlaşmazlıklar, taraflardan birinin başvurusuyla Makina Mühendisleri Odası Edirne Şubesi'nce çözümlenir.Çözümlenemeyen</t>
  </si>
  <si>
    <t>durumlarda, mühendisin ikamet ettiği mahallin iş mahkemeleri yetkilidir.</t>
  </si>
  <si>
    <t>MADDE 8 : KANUNİ İKAMETGAH</t>
  </si>
  <si>
    <t xml:space="preserve">   Mühendisin ve işverenin 1. Maddedeki adresleri kanuni ikametgahlardır. Bu adreste yapılacak her türlü bildirinin kendilerine  </t>
  </si>
  <si>
    <t>yapılmış sayılacağını şimdiden kabul etmişlerdir.</t>
  </si>
  <si>
    <t>MADDE 9 : SÖZLEŞMENİN DOĞAL EK'LERİ</t>
  </si>
  <si>
    <t>a)</t>
  </si>
  <si>
    <t>3194 sayılı İmar Yasası,</t>
  </si>
  <si>
    <t>b)</t>
  </si>
  <si>
    <t>5846 sayılı Fikir ve Sanat Eserleri Yasası</t>
  </si>
  <si>
    <t>c)</t>
  </si>
  <si>
    <t>3458 sayılı Mühendislik ve Mimarlık Hakkında Yasa,</t>
  </si>
  <si>
    <t>d)</t>
  </si>
  <si>
    <t>Yakıt tüketiminde ekonmi sağlanması ve şehirlerde ısıtma tesislerinin sebep olduğu hava kirliğinin azaltılmasına dair yönetleilik.</t>
  </si>
  <si>
    <t>e)</t>
  </si>
  <si>
    <t>MAKİNA MÜHENDİSLERİ ODASI Tesisat Mühendisliği Hizmet Esasları ve konu ile ilgili yönetmelik ve yayınlar.</t>
  </si>
  <si>
    <t>MADDE 10 : ÖZEL ŞARTLAR</t>
  </si>
  <si>
    <t>İŞVEREN</t>
  </si>
  <si>
    <t>T.M.M.O.B.</t>
  </si>
  <si>
    <t>MAK.MÜH.</t>
  </si>
  <si>
    <t>MAKİNE MÜHENDİSLERİ ODASI EDİRNE ŞUBESİ</t>
  </si>
  <si>
    <t>TMMOB
MAKİNA MÜHENDİSLERİ ODASI
EDİRNE ŞUBESİ</t>
  </si>
  <si>
    <t>MEKANİK TESİSAT MÜHENDİSLİK HİZMETLERİ
ASGARİ ÜCRET HESAP FORMU</t>
  </si>
  <si>
    <t>* ÜYE TARAFINDAN DOLDURULACAKTIR.</t>
  </si>
  <si>
    <t xml:space="preserve">Mükellef SMM Büronun Adı      </t>
  </si>
  <si>
    <t>Projenin Sahibi</t>
  </si>
  <si>
    <t>Vergi Dairesi</t>
  </si>
  <si>
    <t>Vergi Sicil Numarası</t>
  </si>
  <si>
    <t>Adresi :</t>
  </si>
  <si>
    <t>Telefon / Faks / e-posta</t>
  </si>
  <si>
    <t>Mimar</t>
  </si>
  <si>
    <t>ASGARİ ÜCRET UYGULAMA ESASLARI :</t>
  </si>
  <si>
    <t>Toplam İnşaat Alanını Mimari Proje Üzerinden Hesapladım.</t>
  </si>
  <si>
    <t>SMM</t>
  </si>
  <si>
    <t>Yapı Alanı: Bina veya Tesislerin oturma veya kullanma alanı ile kat adedinin çarpımından bulunan alan ile</t>
  </si>
  <si>
    <t>İmza / Kaşe</t>
  </si>
  <si>
    <t>mühendislik hizmeti gerektiren açık veya kapalı çıkma alanları toplamıdır.  (SMMH ve Asgari Ücret Yönetmeliği Made 6a-1)</t>
  </si>
  <si>
    <t>Blok Adedi</t>
  </si>
  <si>
    <t xml:space="preserve">Mimari projeden Hesaplanan Blok Yapı Alanı (m²) </t>
  </si>
  <si>
    <t>Bütün Blokların Toplam İnşaat  Alanı  (m²)</t>
  </si>
  <si>
    <t>Yapı Maliyeti Sınıfı</t>
  </si>
  <si>
    <t>Proje Yapı Sınıf Oranı</t>
  </si>
  <si>
    <t>Vize Yapı Sınıf Oranı</t>
  </si>
  <si>
    <t>Yapı Alanı
( m² )</t>
  </si>
  <si>
    <t>Yapı Birim Maliyeti
(YTL / m²)</t>
  </si>
  <si>
    <t>Yapı Sınıf Oranı</t>
  </si>
  <si>
    <t>Hizmet dalı Oranı</t>
  </si>
  <si>
    <t>Hizmet Bölüm Oranı</t>
  </si>
  <si>
    <t>Bölge Katsayısı</t>
  </si>
  <si>
    <t>Uygulama Katsayısı</t>
  </si>
  <si>
    <t>Asgari Ücret
( YTL )</t>
  </si>
  <si>
    <t>Mekanik Tesisat Projesi</t>
  </si>
  <si>
    <t>TUS</t>
  </si>
  <si>
    <t xml:space="preserve">Asansör Avan Projesi </t>
  </si>
  <si>
    <t>uygulama</t>
  </si>
  <si>
    <t>Uygulamalar</t>
  </si>
  <si>
    <t>Uygulama Oranı</t>
  </si>
  <si>
    <t>Mekanik  Tesisat Projesi</t>
  </si>
  <si>
    <t>Asansör Avan Projesi</t>
  </si>
  <si>
    <t>1. Uygulama :</t>
  </si>
  <si>
    <t>Toplam     =</t>
  </si>
  <si>
    <t>Toplam   =</t>
  </si>
  <si>
    <t>Mekanik Tesisat Proje Uygulamaları Toplamı     =</t>
  </si>
  <si>
    <t>TUS Toplamı  =</t>
  </si>
  <si>
    <t>Asansör Avan Proje Uygulamaları Toplamı         =</t>
  </si>
  <si>
    <t>KDV Hariç Toplam Yekün =</t>
  </si>
  <si>
    <t>KDV</t>
  </si>
  <si>
    <t>Genel Toplam =</t>
  </si>
  <si>
    <t>* VİZE GÖREVLİSİ TARAFINDAN DOLDURULACAKTIR.</t>
  </si>
  <si>
    <t>Fatura No</t>
  </si>
  <si>
    <t>Vize No</t>
  </si>
  <si>
    <t>Vize Tarihi</t>
  </si>
  <si>
    <t>Yapı Birim Maliyeti                (YTL / m²)</t>
  </si>
  <si>
    <t>Vize Harcı     (YTL)</t>
  </si>
  <si>
    <t>Mekanik Tesisat Proje Vize Harcı</t>
  </si>
  <si>
    <t>TUS Vize Harcı</t>
  </si>
  <si>
    <t>Asansör Avan Proje Vize Harcı</t>
  </si>
  <si>
    <t>Toplam Proje Vize Harcı</t>
  </si>
  <si>
    <t>Toplam  TUS Vize Harcı</t>
  </si>
  <si>
    <t>As.Av.Proje Vize Harcı</t>
  </si>
  <si>
    <t>Teknik Görevli</t>
  </si>
  <si>
    <t>Genel Toplam Vize Harcı</t>
  </si>
  <si>
    <t>tmmob</t>
  </si>
  <si>
    <t xml:space="preserve">Belge Tarihi         </t>
  </si>
  <si>
    <t xml:space="preserve">Belge No            </t>
  </si>
  <si>
    <t>makina mühendisleri odası</t>
  </si>
  <si>
    <t xml:space="preserve">Oda Makbuz No   </t>
  </si>
  <si>
    <t>edirne şubesi</t>
  </si>
  <si>
    <t xml:space="preserve"> </t>
  </si>
  <si>
    <t>Kocasinan Mah. Dr. Sadık AHMET Cad. No: 60 / 1 - 2 - EDİRNE</t>
  </si>
  <si>
    <r>
      <t>Tel:0.284.236 08 00 (3 Hat)        Faks:0.284.236 08 03</t>
    </r>
    <r>
      <rPr>
        <sz val="9"/>
        <rFont val="Arial"/>
        <family val="2"/>
      </rPr>
      <t xml:space="preserve"> </t>
    </r>
  </si>
  <si>
    <r>
      <t>e-posta:</t>
    </r>
    <r>
      <rPr>
        <u val="single"/>
        <sz val="9"/>
        <rFont val="Arial"/>
        <family val="2"/>
      </rPr>
      <t xml:space="preserve"> edirne @mmo.org.tr</t>
    </r>
    <r>
      <rPr>
        <sz val="9"/>
        <rFont val="Arial"/>
        <family val="2"/>
      </rPr>
      <t xml:space="preserve"> http://www.mmo.org.tr/edirne</t>
    </r>
  </si>
  <si>
    <t>MEKANİK TESİSAT PROJE MÜELLİFİ</t>
  </si>
  <si>
    <t xml:space="preserve"> DENETİM BELGESİ</t>
  </si>
  <si>
    <t>PROJE MÜELLİFİ :</t>
  </si>
  <si>
    <t>MÜHENDİSİN ADI SOYADI</t>
  </si>
  <si>
    <t>ODA SİCİL NO ve BAĞLI OLDUĞU ŞUBE</t>
  </si>
  <si>
    <t>SMM BÜRO ADI</t>
  </si>
  <si>
    <t>SMM BÜRO TESCİL NO</t>
  </si>
  <si>
    <t>SMM BÜRO ADRESİ</t>
  </si>
  <si>
    <t>SMM BÜRO TELEFONU</t>
  </si>
  <si>
    <t>YAPI / ARSA :</t>
  </si>
  <si>
    <t>SAHİBİ</t>
  </si>
  <si>
    <t>İŞİN ADI</t>
  </si>
  <si>
    <t>ADRES - TELEFON</t>
  </si>
  <si>
    <t>VERGİ D. VE NO</t>
  </si>
  <si>
    <t>İL</t>
  </si>
  <si>
    <t>ÜNİTE SAYISI</t>
  </si>
  <si>
    <t>KULLANIM AMACI</t>
  </si>
  <si>
    <t>KAT SAYISI</t>
  </si>
  <si>
    <t>YAPI ALANI (m²)</t>
  </si>
  <si>
    <t>BELDE</t>
  </si>
  <si>
    <t xml:space="preserve">CADDE </t>
  </si>
  <si>
    <t>YAPI SINIFI / GRUBU</t>
  </si>
  <si>
    <t>TOPLAM (m²)</t>
  </si>
  <si>
    <t>ISITMA SİSTEMİ</t>
  </si>
  <si>
    <t>YAKIT CİNSİ</t>
  </si>
  <si>
    <t>Katı yakıt</t>
  </si>
  <si>
    <t>PROJE TÜRÜ</t>
  </si>
  <si>
    <t>YAPIDA YER ALAN TESİSATLAR</t>
  </si>
  <si>
    <t>YAPI KONUSU</t>
  </si>
  <si>
    <t>22 Kasım 2001 tarih ve 24591 sayılı Resmi Gazete'de yayımlanan TMMOB MMO Serbest Müşavirlik ve Mühendislik Büroları Tescil ve Mesleki Denetim</t>
  </si>
  <si>
    <t>Yönetmeliği’ne uygun koşulları taşıyan SMM ve SMM bürosunun yukarıda tanımları yapılmış yapının Mekanik Tesisat Proje Hizmetlerini üstlenmiş makine</t>
  </si>
  <si>
    <t>mühendisi, Odamız üyesi olup söz konusu SMM hizmetini vermeye bu belgenin onaylandığı tarihte yetkilidir. Bu Belge; Odamıza sunulan proje ve eklerine</t>
  </si>
  <si>
    <t>uygun olarak düzenlenmiştir. Üzerinde kazıntı silinti, düzeltme yapılan, hologramsız ve ıslak imza bulunmayan belgeler geçersizdir.</t>
  </si>
  <si>
    <t>Bu belge, 30.01.2007 tarih ve 26419 sayılı Resmi Gazete'de yayımlanan YAPI RUHSATI VE YAPI KULLANMA İZİN BELGESİ KULLANILMASINA İLİŞKİN</t>
  </si>
  <si>
    <t>MECBURİ STANDART TEBLİĞİ gereğince, Yapı Ruhsatı ve  Yapı Kullanma İzin Belgesi düzenlenirken esas alınacaktır.</t>
  </si>
  <si>
    <t>BELGENİN DÜZENLEDİĞİ ODA BİRİMİ</t>
  </si>
  <si>
    <t>BELGEYİ DÜZENLEYEN ODA GÖREVLİSİNİN</t>
  </si>
  <si>
    <t>Kaşe / İmza</t>
  </si>
  <si>
    <t>Ek : 1</t>
  </si>
  <si>
    <t>DOĞALGAZ TESİSATI PROJE MÜELLİFİ</t>
  </si>
  <si>
    <t>SİCİL DURUM BELGESİ</t>
  </si>
  <si>
    <t xml:space="preserve">ADRES </t>
  </si>
  <si>
    <t>TELEFON</t>
  </si>
  <si>
    <t>BLOK ADEDİ</t>
  </si>
  <si>
    <t>BLOK KAT SAYISI</t>
  </si>
  <si>
    <t>TOPLAM DAİRE SAYISI</t>
  </si>
  <si>
    <t>İŞYERİ SAYISI</t>
  </si>
  <si>
    <t>DOĞALGAZ BAĞLANAN KAPI NUMARALARI</t>
  </si>
  <si>
    <t>KAZAN DAİRESİ</t>
  </si>
  <si>
    <t>TOPLAM KAPASİTE</t>
  </si>
  <si>
    <t>SERVİS KUTU BASINCI</t>
  </si>
  <si>
    <t>KULLANIM BASINCI</t>
  </si>
  <si>
    <t>DOĞALGAZ PROJESİ</t>
  </si>
  <si>
    <t>SAYAÇ TİPİ  / ADETİ</t>
  </si>
  <si>
    <t>KULANIM AMACI</t>
  </si>
  <si>
    <t>Ek : 2</t>
  </si>
  <si>
    <t>MEKANİK TESİSAT HİZMETLERİ TEKNİK UYGULAMA SORUMLUSU</t>
  </si>
  <si>
    <t>FENNİ MESUL(TUS)</t>
  </si>
  <si>
    <t>TUS'UNU ÜSTLENDİĞİ TOPLAM ALAN</t>
  </si>
  <si>
    <t xml:space="preserve">Yönetmeliği’ne uygun koşulları taşıyan SMM ve SMM bürosunun yukarıda tanımları yapılmış yapının Mekanik Tesisat Proje Hizmetleri Teknik Uygulama </t>
  </si>
  <si>
    <t xml:space="preserve">Sorumluluğunu üstlenmiş Makine mühendisi, Odamız üyesi olup söz konusu SMM hizmetini vermeye bu belgenin onaylandığı tarihte yetkilidir. Bu Belge; </t>
  </si>
  <si>
    <t xml:space="preserve">Odamıza sunulan proje ve eklerine uygun olarak düzenlenmiştir. Üzerinde kazıntı silinti, düzeltme yapılan, hologramsız ve ıslak imza bulunmayan belgeler </t>
  </si>
  <si>
    <t>Geçersizdir.</t>
  </si>
  <si>
    <t>TUS TAAHHÜTNAMESİ</t>
  </si>
  <si>
    <t>TUS Müellifinin</t>
  </si>
  <si>
    <t>Makina Mühendisleri Odası</t>
  </si>
  <si>
    <t>Adı - SOYADI</t>
  </si>
  <si>
    <t>Edirne Şubesi</t>
  </si>
  <si>
    <t>MMO Sicil No</t>
  </si>
  <si>
    <t>Bağlı Olduğu MMO Birimi</t>
  </si>
  <si>
    <t>PROJE TAAHHÜTNAMESİ</t>
  </si>
  <si>
    <t>Proje Müellifinin</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</si>
</sst>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
    <numFmt numFmtId="165" formatCode="@\:"/>
    <numFmt numFmtId="166" formatCode="#,##0.00&quot; YTL&quot;"/>
    <numFmt numFmtId="167" formatCode="#,##0&quot; Ay&quot;"/>
    <numFmt numFmtId="168" formatCode="#,##0&quot; TL&quot;"/>
    <numFmt numFmtId="169" formatCode="dd/mm/yyyy"/>
    <numFmt numFmtId="170" formatCode="0.0000000000"/>
    <numFmt numFmtId="171" formatCode="%\ 0"/>
    <numFmt numFmtId="172" formatCode="0.00000%"/>
  </numFmts>
  <fonts count="44">
    <font>
      <sz val="10"/>
      <name val="Arial"/>
      <family val="2"/>
    </font>
    <font>
      <sz val="10"/>
      <name val="Arial Tur"/>
      <family val="2"/>
    </font>
    <font>
      <b/>
      <sz val="14"/>
      <name val="Arial"/>
      <family val="2"/>
    </font>
    <font>
      <b/>
      <sz val="12"/>
      <name val="Arial"/>
      <family val="2"/>
    </font>
    <font>
      <b/>
      <sz val="12"/>
      <name val="Arial Tur"/>
      <family val="2"/>
    </font>
    <font>
      <sz val="28"/>
      <name val="Vineta BT"/>
      <family val="5"/>
    </font>
    <font>
      <sz val="15"/>
      <name val="Vineta BT"/>
      <family val="5"/>
    </font>
    <font>
      <sz val="16"/>
      <name val="Vineta BT"/>
      <family val="5"/>
    </font>
    <font>
      <sz val="11"/>
      <name val="Arial Tur"/>
      <family val="2"/>
    </font>
    <font>
      <b/>
      <sz val="20"/>
      <name val="Arial"/>
      <family val="2"/>
    </font>
    <font>
      <sz val="12"/>
      <name val="Arial"/>
      <family val="2"/>
    </font>
    <font>
      <sz val="16"/>
      <name val="Arial"/>
      <family val="2"/>
    </font>
    <font>
      <sz val="8"/>
      <name val="Arial"/>
      <family val="2"/>
    </font>
    <font>
      <b/>
      <sz val="10"/>
      <name val="Arial"/>
      <family val="2"/>
    </font>
    <font>
      <b/>
      <sz val="10"/>
      <name val="Arial Narrow"/>
      <family val="2"/>
    </font>
    <font>
      <sz val="8"/>
      <name val="Arial Narrow"/>
      <family val="2"/>
    </font>
    <font>
      <sz val="14"/>
      <name val="Arial"/>
      <family val="2"/>
    </font>
    <font>
      <b/>
      <sz val="14"/>
      <name val="Arial Tur"/>
      <family val="2"/>
    </font>
    <font>
      <sz val="14"/>
      <name val="Arial Tur"/>
      <family val="2"/>
    </font>
    <font>
      <b/>
      <sz val="11"/>
      <name val="Arial Tur"/>
      <family val="2"/>
    </font>
    <font>
      <b/>
      <sz val="20"/>
      <name val="Arial Tur"/>
      <family val="2"/>
    </font>
    <font>
      <sz val="12"/>
      <name val="Arial Tur"/>
      <family val="2"/>
    </font>
    <font>
      <b/>
      <sz val="10"/>
      <name val="Arial Tur"/>
      <family val="2"/>
    </font>
    <font>
      <b/>
      <sz val="18"/>
      <name val="Arial Tur"/>
      <family val="2"/>
    </font>
    <font>
      <b/>
      <u val="single"/>
      <sz val="10"/>
      <name val="Arial"/>
      <family val="2"/>
    </font>
    <font>
      <sz val="9"/>
      <name val="Arial"/>
      <family val="2"/>
    </font>
    <font>
      <u val="single"/>
      <sz val="8"/>
      <name val="Arial"/>
      <family val="2"/>
    </font>
    <font>
      <b/>
      <u val="single"/>
      <sz val="9"/>
      <name val="Arial"/>
      <family val="2"/>
    </font>
    <font>
      <b/>
      <u val="single"/>
      <sz val="11"/>
      <name val="Arial"/>
      <family val="2"/>
    </font>
    <font>
      <u val="single"/>
      <sz val="10"/>
      <name val="Arial"/>
      <family val="2"/>
    </font>
    <font>
      <u val="single"/>
      <sz val="10"/>
      <name val="Arial Tur"/>
      <family val="2"/>
    </font>
    <font>
      <sz val="11"/>
      <name val="Arial"/>
      <family val="2"/>
    </font>
    <font>
      <i/>
      <sz val="10"/>
      <name val="Arial"/>
      <family val="2"/>
    </font>
    <font>
      <i/>
      <sz val="10"/>
      <name val="Arial Tur"/>
      <family val="2"/>
    </font>
    <font>
      <b/>
      <i/>
      <u val="single"/>
      <sz val="10"/>
      <name val="Arial"/>
      <family val="2"/>
    </font>
    <font>
      <b/>
      <i/>
      <sz val="10"/>
      <name val="Arial"/>
      <family val="2"/>
    </font>
    <font>
      <i/>
      <u val="single"/>
      <sz val="10"/>
      <name val="Arial"/>
      <family val="2"/>
    </font>
    <font>
      <b/>
      <sz val="18"/>
      <name val="Arial"/>
      <family val="2"/>
    </font>
    <font>
      <sz val="6"/>
      <name val="Arial"/>
      <family val="2"/>
    </font>
    <font>
      <u val="single"/>
      <sz val="9"/>
      <name val="Arial"/>
      <family val="2"/>
    </font>
    <font>
      <b/>
      <sz val="16"/>
      <name val="Arial Tur"/>
      <family val="2"/>
    </font>
    <font>
      <sz val="9.5"/>
      <name val="Arial Tur"/>
      <family val="2"/>
    </font>
    <font>
      <sz val="9"/>
      <name val="Arial Tur"/>
      <family val="2"/>
    </font>
    <font>
      <sz val="5.5"/>
      <name val="Arial"/>
      <family val="2"/>
    </font>
  </fonts>
  <fills count="2">
    <fill>
      <patternFill/>
    </fill>
    <fill>
      <patternFill patternType="gray125"/>
    </fill>
  </fills>
  <borders count="59">
    <border>
      <left/>
      <right/>
      <top/>
      <bottom/>
      <diagonal/>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hair">
        <color indexed="8"/>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style="double">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double">
        <color indexed="8"/>
      </right>
      <top style="double">
        <color indexed="8"/>
      </top>
      <bottom>
        <color indexed="63"/>
      </bottom>
    </border>
    <border>
      <left style="double">
        <color indexed="8"/>
      </left>
      <right style="double">
        <color indexed="8"/>
      </right>
      <top style="double">
        <color indexed="8"/>
      </top>
      <bottom style="thin">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double">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double">
        <color indexed="8"/>
      </right>
      <top style="thin">
        <color indexed="8"/>
      </top>
      <bottom style="hair">
        <color indexed="8"/>
      </bottom>
    </border>
    <border>
      <left style="double">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thin">
        <color indexed="8"/>
      </left>
      <right style="double">
        <color indexed="8"/>
      </right>
      <top style="thin">
        <color indexed="8"/>
      </top>
      <bottom>
        <color indexed="63"/>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double">
        <color indexed="8"/>
      </right>
      <top style="double">
        <color indexed="8"/>
      </top>
      <bottom style="double">
        <color indexed="8"/>
      </bottom>
    </border>
    <border>
      <left style="thin">
        <color indexed="8"/>
      </left>
      <right style="thin">
        <color indexed="8"/>
      </right>
      <top>
        <color indexed="63"/>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 fillId="0" borderId="0">
      <alignment/>
      <protection/>
    </xf>
    <xf numFmtId="0" fontId="0" fillId="0" borderId="0">
      <alignment/>
      <protection/>
    </xf>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0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1" fillId="0" borderId="10" xfId="0" applyFont="1" applyBorder="1" applyAlignment="1">
      <alignment/>
    </xf>
    <xf numFmtId="0" fontId="1" fillId="0" borderId="0" xfId="0"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left"/>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0" xfId="0" applyFont="1" applyBorder="1" applyAlignment="1">
      <alignment horizontal="center"/>
    </xf>
    <xf numFmtId="3" fontId="0" fillId="0" borderId="0" xfId="0" applyNumberFormat="1" applyAlignment="1">
      <alignment/>
    </xf>
    <xf numFmtId="2" fontId="0" fillId="0" borderId="0" xfId="0" applyNumberFormat="1" applyAlignment="1">
      <alignment/>
    </xf>
    <xf numFmtId="1" fontId="0" fillId="0" borderId="0" xfId="0" applyNumberFormat="1" applyAlignment="1">
      <alignment/>
    </xf>
    <xf numFmtId="3" fontId="12" fillId="0" borderId="12" xfId="0" applyNumberFormat="1" applyFont="1" applyBorder="1" applyAlignment="1">
      <alignment horizontal="center"/>
    </xf>
    <xf numFmtId="2" fontId="0" fillId="0" borderId="13" xfId="0" applyNumberFormat="1" applyBorder="1" applyAlignment="1">
      <alignment horizontal="center"/>
    </xf>
    <xf numFmtId="0" fontId="0" fillId="0" borderId="13" xfId="0" applyBorder="1" applyAlignment="1">
      <alignment horizontal="center"/>
    </xf>
    <xf numFmtId="1" fontId="0" fillId="0" borderId="13" xfId="0" applyNumberFormat="1" applyBorder="1" applyAlignment="1">
      <alignment horizontal="center"/>
    </xf>
    <xf numFmtId="0" fontId="12" fillId="0" borderId="12" xfId="0" applyNumberFormat="1" applyFont="1" applyBorder="1" applyAlignment="1">
      <alignment horizontal="center"/>
    </xf>
    <xf numFmtId="1" fontId="12" fillId="0" borderId="12" xfId="0" applyNumberFormat="1" applyFont="1" applyBorder="1" applyAlignment="1">
      <alignment horizontal="center"/>
    </xf>
    <xf numFmtId="2" fontId="12" fillId="0" borderId="12" xfId="0" applyNumberFormat="1" applyFont="1" applyBorder="1" applyAlignment="1">
      <alignment horizontal="center"/>
    </xf>
    <xf numFmtId="3" fontId="12" fillId="0" borderId="14" xfId="0" applyNumberFormat="1" applyFont="1" applyBorder="1" applyAlignment="1">
      <alignment horizontal="center" vertical="center" wrapText="1"/>
    </xf>
    <xf numFmtId="2" fontId="12" fillId="0" borderId="0" xfId="0" applyNumberFormat="1" applyFont="1" applyAlignment="1">
      <alignment horizontal="center"/>
    </xf>
    <xf numFmtId="0" fontId="12" fillId="0" borderId="0" xfId="0" applyFont="1" applyAlignment="1">
      <alignment horizontal="center"/>
    </xf>
    <xf numFmtId="1" fontId="12" fillId="0" borderId="0" xfId="0" applyNumberFormat="1" applyFont="1" applyAlignment="1">
      <alignment horizontal="center"/>
    </xf>
    <xf numFmtId="4" fontId="12" fillId="0" borderId="14" xfId="0" applyNumberFormat="1" applyFont="1" applyBorder="1" applyAlignment="1" applyProtection="1">
      <alignment horizontal="center" vertical="center"/>
      <protection locked="0"/>
    </xf>
    <xf numFmtId="0" fontId="12" fillId="0" borderId="0" xfId="0" applyFont="1" applyAlignment="1">
      <alignment/>
    </xf>
    <xf numFmtId="3" fontId="0" fillId="0" borderId="15" xfId="0" applyNumberFormat="1" applyFont="1" applyBorder="1" applyAlignment="1">
      <alignment horizontal="center" vertical="center" wrapText="1"/>
    </xf>
    <xf numFmtId="1" fontId="12" fillId="0" borderId="0" xfId="0" applyNumberFormat="1" applyFont="1" applyAlignment="1">
      <alignment horizontal="center" vertical="center"/>
    </xf>
    <xf numFmtId="0" fontId="12" fillId="0" borderId="15" xfId="0" applyFont="1" applyBorder="1" applyAlignment="1">
      <alignment horizontal="center"/>
    </xf>
    <xf numFmtId="3" fontId="0" fillId="0" borderId="16" xfId="0" applyNumberFormat="1" applyFont="1" applyBorder="1" applyAlignment="1">
      <alignment/>
    </xf>
    <xf numFmtId="2" fontId="0" fillId="0" borderId="16" xfId="0" applyNumberFormat="1" applyFont="1" applyBorder="1" applyAlignment="1">
      <alignment/>
    </xf>
    <xf numFmtId="1" fontId="0" fillId="0" borderId="15" xfId="0" applyNumberFormat="1" applyFont="1" applyBorder="1" applyAlignment="1">
      <alignment/>
    </xf>
    <xf numFmtId="1" fontId="0" fillId="0" borderId="16" xfId="0" applyNumberFormat="1" applyFont="1" applyBorder="1" applyAlignment="1">
      <alignment/>
    </xf>
    <xf numFmtId="0" fontId="0" fillId="0" borderId="0" xfId="0" applyFont="1" applyAlignment="1">
      <alignment/>
    </xf>
    <xf numFmtId="3" fontId="0" fillId="0" borderId="16" xfId="0" applyNumberFormat="1" applyBorder="1" applyAlignment="1">
      <alignment/>
    </xf>
    <xf numFmtId="2" fontId="0" fillId="0" borderId="16" xfId="0" applyNumberFormat="1" applyBorder="1" applyAlignment="1">
      <alignment/>
    </xf>
    <xf numFmtId="3" fontId="13" fillId="0" borderId="16" xfId="0" applyNumberFormat="1" applyFont="1" applyBorder="1" applyAlignment="1">
      <alignment/>
    </xf>
    <xf numFmtId="2" fontId="13" fillId="0" borderId="16" xfId="0" applyNumberFormat="1" applyFont="1" applyBorder="1" applyAlignment="1">
      <alignment/>
    </xf>
    <xf numFmtId="3" fontId="0" fillId="0" borderId="0" xfId="0" applyNumberFormat="1" applyBorder="1" applyAlignment="1">
      <alignment/>
    </xf>
    <xf numFmtId="2" fontId="0" fillId="0" borderId="0" xfId="0" applyNumberFormat="1" applyBorder="1" applyAlignment="1">
      <alignment/>
    </xf>
    <xf numFmtId="1" fontId="0" fillId="0" borderId="0" xfId="0" applyNumberFormat="1" applyBorder="1" applyAlignment="1">
      <alignment/>
    </xf>
    <xf numFmtId="0" fontId="14" fillId="0" borderId="0" xfId="18" applyFont="1" applyBorder="1" applyAlignment="1">
      <alignment/>
      <protection/>
    </xf>
    <xf numFmtId="2" fontId="13" fillId="0" borderId="0" xfId="0" applyNumberFormat="1" applyFont="1" applyBorder="1" applyAlignment="1">
      <alignment/>
    </xf>
    <xf numFmtId="1" fontId="13" fillId="0" borderId="0" xfId="0" applyNumberFormat="1" applyFont="1" applyBorder="1" applyAlignment="1">
      <alignment/>
    </xf>
    <xf numFmtId="3" fontId="13" fillId="0" borderId="0" xfId="0" applyNumberFormat="1" applyFont="1" applyBorder="1" applyAlignment="1">
      <alignment/>
    </xf>
    <xf numFmtId="164" fontId="0" fillId="0" borderId="0" xfId="0" applyNumberFormat="1" applyAlignment="1">
      <alignment/>
    </xf>
    <xf numFmtId="4" fontId="0" fillId="0" borderId="0" xfId="0" applyNumberFormat="1" applyBorder="1" applyAlignment="1" applyProtection="1">
      <alignment/>
      <protection locked="0"/>
    </xf>
    <xf numFmtId="2" fontId="0" fillId="0" borderId="0" xfId="0" applyNumberFormat="1" applyAlignment="1" applyProtection="1">
      <alignment/>
      <protection locked="0"/>
    </xf>
    <xf numFmtId="165" fontId="13" fillId="0" borderId="0" xfId="0" applyNumberFormat="1" applyFont="1" applyBorder="1" applyAlignment="1">
      <alignment/>
    </xf>
    <xf numFmtId="166" fontId="13" fillId="0" borderId="0" xfId="0" applyNumberFormat="1" applyFont="1" applyBorder="1" applyAlignment="1">
      <alignment/>
    </xf>
    <xf numFmtId="3" fontId="13" fillId="0" borderId="0" xfId="0" applyNumberFormat="1" applyFont="1" applyAlignment="1">
      <alignment/>
    </xf>
    <xf numFmtId="9" fontId="0" fillId="0" borderId="0" xfId="22" applyFont="1" applyFill="1" applyBorder="1" applyAlignment="1" applyProtection="1">
      <alignment/>
      <protection/>
    </xf>
    <xf numFmtId="9" fontId="0" fillId="0" borderId="0" xfId="22" applyFont="1" applyFill="1" applyBorder="1" applyAlignment="1" applyProtection="1">
      <alignment/>
      <protection locked="0"/>
    </xf>
    <xf numFmtId="0" fontId="15" fillId="0" borderId="0" xfId="18" applyFont="1" applyBorder="1" applyAlignment="1">
      <alignment/>
      <protection/>
    </xf>
    <xf numFmtId="3" fontId="13" fillId="0" borderId="0" xfId="0" applyNumberFormat="1" applyFont="1" applyBorder="1" applyAlignment="1" applyProtection="1">
      <alignment/>
      <protection locked="0"/>
    </xf>
    <xf numFmtId="0" fontId="13" fillId="0" borderId="0" xfId="0" applyFont="1" applyAlignment="1">
      <alignment/>
    </xf>
    <xf numFmtId="0" fontId="15" fillId="0" borderId="0" xfId="18" applyFont="1">
      <alignment/>
      <protection/>
    </xf>
    <xf numFmtId="0" fontId="15" fillId="0" borderId="0" xfId="18" applyFont="1" applyAlignment="1">
      <alignment horizontal="center"/>
      <protection/>
    </xf>
    <xf numFmtId="3" fontId="0" fillId="0" borderId="0" xfId="0" applyNumberFormat="1" applyFont="1" applyAlignment="1">
      <alignment/>
    </xf>
    <xf numFmtId="2" fontId="1" fillId="0" borderId="0" xfId="19" applyNumberFormat="1" applyFont="1">
      <alignment/>
      <protection/>
    </xf>
    <xf numFmtId="0" fontId="1" fillId="0" borderId="0" xfId="19" applyFont="1">
      <alignment/>
      <protection/>
    </xf>
    <xf numFmtId="1" fontId="1" fillId="0" borderId="0" xfId="19" applyNumberFormat="1" applyFont="1">
      <alignment/>
      <protection/>
    </xf>
    <xf numFmtId="3" fontId="1" fillId="0" borderId="0" xfId="19" applyNumberFormat="1" applyFont="1">
      <alignment/>
      <protection/>
    </xf>
    <xf numFmtId="3" fontId="12" fillId="0" borderId="17"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2" fontId="13" fillId="0" borderId="18" xfId="0" applyNumberFormat="1" applyFont="1" applyBorder="1" applyAlignment="1">
      <alignment horizontal="center" vertical="center"/>
    </xf>
    <xf numFmtId="0" fontId="13" fillId="0" borderId="18" xfId="0" applyFont="1" applyBorder="1" applyAlignment="1">
      <alignment horizontal="center" vertical="center"/>
    </xf>
    <xf numFmtId="3" fontId="12" fillId="0" borderId="14" xfId="0" applyNumberFormat="1" applyFont="1" applyBorder="1" applyAlignment="1">
      <alignment vertical="center" wrapText="1"/>
    </xf>
    <xf numFmtId="3" fontId="12" fillId="0" borderId="16" xfId="0" applyNumberFormat="1" applyFont="1" applyBorder="1" applyAlignment="1">
      <alignment vertical="center" wrapText="1"/>
    </xf>
    <xf numFmtId="1" fontId="16" fillId="0" borderId="18" xfId="0" applyNumberFormat="1" applyFont="1" applyBorder="1" applyAlignment="1">
      <alignment horizontal="center" vertical="center"/>
    </xf>
    <xf numFmtId="0" fontId="16" fillId="0" borderId="18" xfId="0" applyFont="1" applyBorder="1" applyAlignment="1">
      <alignment horizontal="center" vertical="center"/>
    </xf>
    <xf numFmtId="0" fontId="16" fillId="0" borderId="16" xfId="0" applyFont="1" applyBorder="1" applyAlignment="1">
      <alignment horizontal="center" vertical="center"/>
    </xf>
    <xf numFmtId="3" fontId="2" fillId="0" borderId="16" xfId="0" applyNumberFormat="1" applyFont="1" applyBorder="1" applyAlignment="1">
      <alignment horizontal="center" vertical="center" wrapText="1"/>
    </xf>
    <xf numFmtId="3" fontId="16" fillId="0" borderId="18" xfId="0" applyNumberFormat="1" applyFont="1" applyBorder="1" applyAlignment="1">
      <alignment horizontal="center" vertical="center" wrapText="1"/>
    </xf>
    <xf numFmtId="167" fontId="16" fillId="0" borderId="16" xfId="0" applyNumberFormat="1" applyFont="1" applyBorder="1" applyAlignment="1">
      <alignment horizontal="center" vertical="center"/>
    </xf>
    <xf numFmtId="167" fontId="16" fillId="0" borderId="18" xfId="0" applyNumberFormat="1" applyFont="1" applyBorder="1" applyAlignment="1">
      <alignment horizontal="center" vertical="center"/>
    </xf>
    <xf numFmtId="3" fontId="16" fillId="0" borderId="18" xfId="0" applyNumberFormat="1" applyFont="1" applyBorder="1" applyAlignment="1">
      <alignment horizontal="center" vertical="center"/>
    </xf>
    <xf numFmtId="167" fontId="16" fillId="0" borderId="15" xfId="0" applyNumberFormat="1" applyFont="1" applyBorder="1" applyAlignment="1">
      <alignment horizontal="center" vertical="center"/>
    </xf>
    <xf numFmtId="167" fontId="16" fillId="0" borderId="17" xfId="0" applyNumberFormat="1" applyFont="1" applyBorder="1" applyAlignment="1">
      <alignment horizontal="center" vertical="center"/>
    </xf>
    <xf numFmtId="3" fontId="2" fillId="0" borderId="15" xfId="0" applyNumberFormat="1" applyFont="1" applyBorder="1" applyAlignment="1">
      <alignment horizontal="center" vertical="center" wrapText="1"/>
    </xf>
    <xf numFmtId="3" fontId="16" fillId="0" borderId="17" xfId="0" applyNumberFormat="1" applyFont="1" applyBorder="1" applyAlignment="1">
      <alignment horizontal="center" vertical="center"/>
    </xf>
    <xf numFmtId="167" fontId="0" fillId="0" borderId="0" xfId="0" applyNumberFormat="1" applyFont="1" applyBorder="1" applyAlignment="1">
      <alignment horizontal="right" vertical="center"/>
    </xf>
    <xf numFmtId="167" fontId="0" fillId="0" borderId="0" xfId="0" applyNumberFormat="1" applyAlignment="1">
      <alignment/>
    </xf>
    <xf numFmtId="0" fontId="17" fillId="0" borderId="19" xfId="0" applyFont="1" applyBorder="1" applyAlignment="1">
      <alignment horizontal="center"/>
    </xf>
    <xf numFmtId="0" fontId="17" fillId="0" borderId="13" xfId="0" applyFont="1" applyBorder="1" applyAlignment="1">
      <alignment horizontal="center"/>
    </xf>
    <xf numFmtId="0" fontId="17" fillId="0" borderId="20" xfId="0" applyFont="1" applyBorder="1" applyAlignment="1">
      <alignment horizontal="center"/>
    </xf>
    <xf numFmtId="0" fontId="18" fillId="0" borderId="21" xfId="0" applyFont="1" applyBorder="1" applyAlignment="1">
      <alignment/>
    </xf>
    <xf numFmtId="0" fontId="18" fillId="0" borderId="0" xfId="0" applyFont="1" applyBorder="1" applyAlignment="1">
      <alignment/>
    </xf>
    <xf numFmtId="0" fontId="18" fillId="0" borderId="22" xfId="0" applyFont="1" applyBorder="1" applyAlignment="1">
      <alignment/>
    </xf>
    <xf numFmtId="0" fontId="8" fillId="0" borderId="21" xfId="0" applyFont="1" applyBorder="1" applyAlignment="1">
      <alignment/>
    </xf>
    <xf numFmtId="0" fontId="8" fillId="0" borderId="22"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7" xfId="0" applyBorder="1" applyAlignment="1">
      <alignment/>
    </xf>
    <xf numFmtId="0" fontId="8" fillId="0" borderId="25" xfId="0" applyFont="1" applyBorder="1" applyAlignment="1">
      <alignment horizontal="center" vertical="center"/>
    </xf>
    <xf numFmtId="0" fontId="4" fillId="0" borderId="26" xfId="0" applyFont="1" applyBorder="1" applyAlignment="1">
      <alignment/>
    </xf>
    <xf numFmtId="0" fontId="4" fillId="0" borderId="7" xfId="0" applyFont="1" applyBorder="1" applyAlignment="1">
      <alignment/>
    </xf>
    <xf numFmtId="0" fontId="4" fillId="0" borderId="27" xfId="0" applyFont="1" applyBorder="1" applyAlignment="1">
      <alignment/>
    </xf>
    <xf numFmtId="0" fontId="4" fillId="0" borderId="0" xfId="0" applyFont="1" applyBorder="1" applyAlignment="1">
      <alignment/>
    </xf>
    <xf numFmtId="0" fontId="21" fillId="0" borderId="7" xfId="0" applyFont="1" applyBorder="1" applyAlignment="1">
      <alignment/>
    </xf>
    <xf numFmtId="0" fontId="0" fillId="0" borderId="27" xfId="0" applyBorder="1" applyAlignment="1">
      <alignment/>
    </xf>
    <xf numFmtId="0" fontId="22" fillId="0" borderId="28" xfId="0" applyFont="1" applyBorder="1" applyAlignment="1">
      <alignment/>
    </xf>
    <xf numFmtId="0" fontId="22" fillId="0" borderId="0" xfId="0" applyFont="1" applyBorder="1" applyAlignment="1">
      <alignment/>
    </xf>
    <xf numFmtId="0" fontId="22" fillId="0" borderId="29" xfId="0" applyFont="1" applyBorder="1" applyAlignment="1">
      <alignment/>
    </xf>
    <xf numFmtId="0" fontId="0" fillId="0" borderId="29" xfId="0" applyBorder="1" applyAlignment="1">
      <alignment/>
    </xf>
    <xf numFmtId="0" fontId="0" fillId="0" borderId="28"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19" fillId="0" borderId="25" xfId="0" applyFont="1" applyBorder="1" applyAlignment="1">
      <alignment horizontal="center"/>
    </xf>
    <xf numFmtId="0" fontId="22" fillId="0" borderId="26" xfId="0" applyFont="1" applyBorder="1" applyAlignment="1">
      <alignment horizontal="center" vertical="center" wrapText="1"/>
    </xf>
    <xf numFmtId="0" fontId="19" fillId="0" borderId="25" xfId="0" applyFont="1" applyBorder="1" applyAlignment="1">
      <alignment horizontal="center" vertical="center" wrapText="1"/>
    </xf>
    <xf numFmtId="0" fontId="22" fillId="0" borderId="30" xfId="0" applyFont="1" applyBorder="1" applyAlignment="1">
      <alignment horizontal="center" vertical="center" wrapText="1"/>
    </xf>
    <xf numFmtId="0" fontId="8" fillId="0" borderId="25" xfId="0" applyFont="1" applyBorder="1" applyAlignment="1">
      <alignment horizontal="center"/>
    </xf>
    <xf numFmtId="0" fontId="8" fillId="0" borderId="10" xfId="0" applyFont="1" applyBorder="1" applyAlignment="1">
      <alignment/>
    </xf>
    <xf numFmtId="0" fontId="10" fillId="0" borderId="0" xfId="0" applyFont="1" applyAlignment="1">
      <alignment/>
    </xf>
    <xf numFmtId="0" fontId="10" fillId="0" borderId="30" xfId="0" applyFont="1" applyBorder="1" applyAlignment="1">
      <alignment/>
    </xf>
    <xf numFmtId="0" fontId="10" fillId="0" borderId="31" xfId="0" applyFont="1" applyBorder="1" applyAlignment="1">
      <alignment/>
    </xf>
    <xf numFmtId="0" fontId="10" fillId="0" borderId="32" xfId="0" applyFont="1" applyBorder="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12" fillId="0" borderId="0" xfId="0" applyFont="1" applyAlignment="1">
      <alignment horizontal="right"/>
    </xf>
    <xf numFmtId="0" fontId="26" fillId="0" borderId="0" xfId="0" applyFont="1" applyBorder="1" applyAlignment="1" applyProtection="1">
      <alignment horizontal="left"/>
      <protection locked="0"/>
    </xf>
    <xf numFmtId="0" fontId="12" fillId="0" borderId="0" xfId="0" applyFont="1" applyAlignment="1" applyProtection="1">
      <alignment/>
      <protection locked="0"/>
    </xf>
    <xf numFmtId="0" fontId="12" fillId="0" borderId="0" xfId="0" applyFont="1" applyAlignment="1">
      <alignment vertical="center"/>
    </xf>
    <xf numFmtId="0" fontId="12" fillId="0" borderId="0" xfId="0" applyFont="1" applyAlignment="1">
      <alignment horizontal="right" vertical="center"/>
    </xf>
    <xf numFmtId="0" fontId="26" fillId="0" borderId="0"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vertical="center"/>
      <protection locked="0"/>
    </xf>
    <xf numFmtId="0" fontId="27" fillId="0" borderId="0" xfId="0" applyFont="1" applyAlignment="1">
      <alignment/>
    </xf>
    <xf numFmtId="169" fontId="12" fillId="0" borderId="0" xfId="0" applyNumberFormat="1" applyFont="1" applyBorder="1" applyAlignment="1" applyProtection="1">
      <alignment horizontal="center"/>
      <protection locked="0"/>
    </xf>
    <xf numFmtId="0" fontId="25" fillId="0" borderId="0" xfId="0" applyFont="1" applyAlignment="1">
      <alignment horizontal="center" shrinkToFit="1"/>
    </xf>
    <xf numFmtId="0" fontId="25" fillId="0" borderId="0" xfId="0" applyFont="1" applyAlignment="1">
      <alignment horizontal="center"/>
    </xf>
    <xf numFmtId="0" fontId="0" fillId="0" borderId="0" xfId="0" applyAlignment="1">
      <alignment horizontal="right"/>
    </xf>
    <xf numFmtId="0" fontId="3" fillId="0" borderId="0" xfId="0" applyFont="1" applyAlignment="1">
      <alignment horizontal="center"/>
    </xf>
    <xf numFmtId="0" fontId="28" fillId="0" borderId="0" xfId="0" applyFont="1" applyAlignment="1">
      <alignment/>
    </xf>
    <xf numFmtId="0" fontId="10" fillId="0" borderId="0" xfId="0" applyFont="1" applyAlignment="1">
      <alignment horizontal="justify"/>
    </xf>
    <xf numFmtId="0" fontId="29" fillId="0" borderId="0" xfId="0" applyFont="1" applyBorder="1" applyAlignment="1">
      <alignment/>
    </xf>
    <xf numFmtId="0" fontId="0" fillId="0" borderId="0" xfId="0" applyFont="1" applyBorder="1" applyAlignment="1">
      <alignment/>
    </xf>
    <xf numFmtId="0" fontId="0" fillId="0" borderId="0" xfId="0" applyFont="1" applyAlignment="1">
      <alignment/>
    </xf>
    <xf numFmtId="165" fontId="0" fillId="0" borderId="0" xfId="0" applyNumberFormat="1" applyFont="1" applyBorder="1" applyAlignment="1">
      <alignment horizontal="center"/>
    </xf>
    <xf numFmtId="0" fontId="0" fillId="0" borderId="0" xfId="0" applyFont="1" applyBorder="1" applyAlignment="1">
      <alignment/>
    </xf>
    <xf numFmtId="0" fontId="0" fillId="0" borderId="0" xfId="0" applyFont="1" applyAlignment="1">
      <alignment horizontal="left"/>
    </xf>
    <xf numFmtId="1" fontId="0" fillId="0" borderId="0" xfId="0" applyNumberFormat="1" applyFont="1" applyBorder="1" applyAlignment="1">
      <alignment horizontal="left"/>
    </xf>
    <xf numFmtId="0" fontId="29" fillId="0" borderId="0" xfId="0" applyFont="1" applyBorder="1" applyAlignment="1">
      <alignment horizontal="left"/>
    </xf>
    <xf numFmtId="0" fontId="0" fillId="0" borderId="0" xfId="0" applyFont="1" applyBorder="1" applyAlignment="1">
      <alignment horizontal="left"/>
    </xf>
    <xf numFmtId="165" fontId="0" fillId="0" borderId="0" xfId="0" applyNumberFormat="1" applyFont="1" applyBorder="1" applyAlignment="1">
      <alignment horizontal="center" vertical="center"/>
    </xf>
    <xf numFmtId="1" fontId="0" fillId="0" borderId="0" xfId="0" applyNumberFormat="1" applyFont="1" applyBorder="1" applyAlignment="1">
      <alignment horizontal="left" vertical="center"/>
    </xf>
    <xf numFmtId="0" fontId="31" fillId="0" borderId="0" xfId="0" applyFont="1" applyAlignment="1">
      <alignment/>
    </xf>
    <xf numFmtId="0" fontId="13" fillId="0" borderId="0" xfId="0" applyFont="1" applyBorder="1" applyAlignment="1">
      <alignment vertical="center"/>
    </xf>
    <xf numFmtId="0" fontId="0" fillId="0" borderId="0" xfId="0" applyFont="1" applyBorder="1" applyAlignment="1">
      <alignment horizontal="center"/>
    </xf>
    <xf numFmtId="0" fontId="25" fillId="0" borderId="0" xfId="0" applyFont="1" applyBorder="1" applyAlignment="1">
      <alignment/>
    </xf>
    <xf numFmtId="0" fontId="0" fillId="0" borderId="0" xfId="0" applyNumberFormat="1" applyFont="1" applyBorder="1" applyAlignment="1">
      <alignment shrinkToFit="1"/>
    </xf>
    <xf numFmtId="165" fontId="0" fillId="0" borderId="0" xfId="0" applyNumberFormat="1" applyFont="1" applyBorder="1" applyAlignment="1">
      <alignment shrinkToFit="1"/>
    </xf>
    <xf numFmtId="0" fontId="0" fillId="0" borderId="24" xfId="0" applyNumberFormat="1" applyFont="1" applyBorder="1" applyAlignment="1" applyProtection="1">
      <alignment shrinkToFit="1"/>
      <protection locked="0"/>
    </xf>
    <xf numFmtId="0" fontId="0" fillId="0" borderId="31" xfId="0" applyFont="1" applyBorder="1" applyAlignment="1" applyProtection="1">
      <alignment/>
      <protection locked="0"/>
    </xf>
    <xf numFmtId="165" fontId="0" fillId="0" borderId="0" xfId="0" applyNumberFormat="1" applyFont="1" applyBorder="1" applyAlignment="1">
      <alignment/>
    </xf>
    <xf numFmtId="0" fontId="0" fillId="0" borderId="0" xfId="0" applyFont="1" applyBorder="1" applyAlignment="1" applyProtection="1">
      <alignment/>
      <protection locked="0"/>
    </xf>
    <xf numFmtId="0" fontId="0" fillId="0" borderId="31" xfId="0" applyFont="1" applyBorder="1" applyAlignment="1">
      <alignment/>
    </xf>
    <xf numFmtId="0" fontId="0" fillId="0" borderId="0" xfId="0" applyNumberFormat="1" applyFont="1" applyBorder="1" applyAlignment="1">
      <alignment/>
    </xf>
    <xf numFmtId="0" fontId="0" fillId="0" borderId="31" xfId="0" applyFont="1" applyBorder="1" applyAlignment="1" applyProtection="1">
      <alignment horizontal="right"/>
      <protection locked="0"/>
    </xf>
    <xf numFmtId="0" fontId="31" fillId="0" borderId="0" xfId="0" applyNumberFormat="1" applyFont="1" applyAlignment="1">
      <alignment/>
    </xf>
    <xf numFmtId="0" fontId="31" fillId="0" borderId="0" xfId="0" applyNumberFormat="1" applyFont="1" applyAlignment="1">
      <alignment horizontal="right" shrinkToFit="1"/>
    </xf>
    <xf numFmtId="0" fontId="1" fillId="0" borderId="16" xfId="0" applyFont="1" applyBorder="1" applyAlignment="1">
      <alignment horizontal="center" vertical="center" wrapText="1"/>
    </xf>
    <xf numFmtId="0" fontId="1" fillId="0" borderId="0" xfId="0" applyFont="1" applyAlignment="1">
      <alignment/>
    </xf>
    <xf numFmtId="0" fontId="1" fillId="0" borderId="16" xfId="0" applyFont="1" applyBorder="1" applyAlignment="1">
      <alignment horizontal="center" vertical="center"/>
    </xf>
    <xf numFmtId="1" fontId="1" fillId="0" borderId="16" xfId="0" applyNumberFormat="1" applyFont="1" applyBorder="1" applyAlignment="1">
      <alignment horizontal="center" vertical="center"/>
    </xf>
    <xf numFmtId="4" fontId="1" fillId="0" borderId="33" xfId="0" applyNumberFormat="1" applyFont="1" applyBorder="1" applyAlignment="1">
      <alignment vertical="center"/>
    </xf>
    <xf numFmtId="10" fontId="1" fillId="0" borderId="16" xfId="0" applyNumberFormat="1" applyFont="1" applyBorder="1" applyAlignment="1">
      <alignment horizontal="center" vertical="center"/>
    </xf>
    <xf numFmtId="10" fontId="1" fillId="0" borderId="21" xfId="0" applyNumberFormat="1" applyFont="1" applyBorder="1" applyAlignment="1">
      <alignment horizontal="left" vertical="center"/>
    </xf>
    <xf numFmtId="10" fontId="1" fillId="0" borderId="22" xfId="0" applyNumberFormat="1" applyFont="1" applyBorder="1" applyAlignment="1">
      <alignment vertical="center"/>
    </xf>
    <xf numFmtId="170" fontId="1" fillId="0" borderId="16" xfId="0" applyNumberFormat="1" applyFont="1" applyBorder="1" applyAlignment="1">
      <alignment horizontal="right" vertical="center"/>
    </xf>
    <xf numFmtId="0" fontId="0" fillId="0" borderId="0" xfId="0" applyAlignment="1">
      <alignment horizontal="left" vertical="center"/>
    </xf>
    <xf numFmtId="170" fontId="1" fillId="0" borderId="0" xfId="0" applyNumberFormat="1" applyFont="1" applyAlignment="1">
      <alignment/>
    </xf>
    <xf numFmtId="10" fontId="1" fillId="0" borderId="0" xfId="0" applyNumberFormat="1" applyFont="1" applyBorder="1" applyAlignment="1">
      <alignment horizontal="center" vertical="center"/>
    </xf>
    <xf numFmtId="0" fontId="1" fillId="0" borderId="33" xfId="0" applyFont="1" applyBorder="1" applyAlignment="1">
      <alignment horizontal="center" vertical="center" wrapText="1"/>
    </xf>
    <xf numFmtId="166" fontId="1" fillId="0" borderId="33" xfId="0" applyNumberFormat="1" applyFont="1" applyBorder="1" applyAlignment="1">
      <alignment horizontal="center" vertical="center"/>
    </xf>
    <xf numFmtId="2" fontId="1" fillId="0" borderId="33" xfId="0" applyNumberFormat="1" applyFont="1" applyBorder="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Border="1" applyAlignment="1">
      <alignment horizontal="center" vertical="center"/>
    </xf>
    <xf numFmtId="166" fontId="1" fillId="0" borderId="0" xfId="0" applyNumberFormat="1" applyFont="1" applyBorder="1" applyAlignment="1">
      <alignment vertical="center"/>
    </xf>
    <xf numFmtId="0" fontId="1" fillId="0" borderId="0" xfId="0" applyFont="1" applyBorder="1" applyAlignment="1">
      <alignment horizontal="center" vertical="center"/>
    </xf>
    <xf numFmtId="166" fontId="1" fillId="0" borderId="22" xfId="0" applyNumberFormat="1" applyFont="1" applyBorder="1" applyAlignment="1">
      <alignment horizontal="center" vertical="center"/>
    </xf>
    <xf numFmtId="0" fontId="22" fillId="0" borderId="14" xfId="0" applyFont="1" applyBorder="1" applyAlignment="1">
      <alignment vertical="center" wrapText="1"/>
    </xf>
    <xf numFmtId="0" fontId="22" fillId="0" borderId="22" xfId="0" applyFont="1" applyBorder="1" applyAlignment="1">
      <alignment horizontal="center" vertical="center" wrapText="1"/>
    </xf>
    <xf numFmtId="0" fontId="1" fillId="0" borderId="0" xfId="0" applyFont="1" applyAlignment="1">
      <alignment vertical="center"/>
    </xf>
    <xf numFmtId="165" fontId="22" fillId="0" borderId="24" xfId="0" applyNumberFormat="1" applyFont="1" applyBorder="1" applyAlignment="1">
      <alignment vertical="center" wrapText="1"/>
    </xf>
    <xf numFmtId="0" fontId="22" fillId="0" borderId="17" xfId="0" applyNumberFormat="1" applyFont="1" applyBorder="1" applyAlignment="1">
      <alignment vertical="center" wrapText="1"/>
    </xf>
    <xf numFmtId="0" fontId="22" fillId="0" borderId="24" xfId="0" applyNumberFormat="1" applyFont="1" applyBorder="1" applyAlignment="1" applyProtection="1">
      <alignment vertical="center" wrapText="1"/>
      <protection locked="0"/>
    </xf>
    <xf numFmtId="0" fontId="22" fillId="0" borderId="17" xfId="0" applyFont="1" applyBorder="1" applyAlignment="1" applyProtection="1">
      <alignment vertical="center"/>
      <protection locked="0"/>
    </xf>
    <xf numFmtId="3" fontId="22" fillId="0" borderId="14" xfId="0" applyNumberFormat="1" applyFont="1" applyBorder="1" applyAlignment="1" applyProtection="1">
      <alignment horizontal="right" vertical="center"/>
      <protection locked="0"/>
    </xf>
    <xf numFmtId="3" fontId="22" fillId="0" borderId="23" xfId="0" applyNumberFormat="1" applyFont="1" applyBorder="1" applyAlignment="1" applyProtection="1">
      <alignment horizontal="right" vertical="center"/>
      <protection locked="0"/>
    </xf>
    <xf numFmtId="0" fontId="22" fillId="0" borderId="22" xfId="0" applyFont="1" applyBorder="1" applyAlignment="1" applyProtection="1">
      <alignment vertical="center"/>
      <protection locked="0"/>
    </xf>
    <xf numFmtId="0" fontId="22" fillId="0" borderId="23" xfId="0" applyNumberFormat="1" applyFont="1" applyBorder="1" applyAlignment="1" applyProtection="1">
      <alignment horizontal="right" vertical="center"/>
      <protection locked="0"/>
    </xf>
    <xf numFmtId="0" fontId="1" fillId="0" borderId="22" xfId="0" applyFont="1" applyBorder="1" applyAlignment="1">
      <alignment vertical="center"/>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2" xfId="0" applyFont="1" applyBorder="1" applyAlignment="1">
      <alignment/>
    </xf>
    <xf numFmtId="171" fontId="1" fillId="0" borderId="16" xfId="0" applyNumberFormat="1" applyFont="1" applyBorder="1" applyAlignment="1">
      <alignment horizontal="center"/>
    </xf>
    <xf numFmtId="166" fontId="1" fillId="0" borderId="16" xfId="0" applyNumberFormat="1" applyFont="1" applyBorder="1" applyAlignment="1">
      <alignment/>
    </xf>
    <xf numFmtId="171" fontId="1" fillId="0" borderId="14" xfId="0" applyNumberFormat="1" applyFont="1" applyBorder="1" applyAlignment="1">
      <alignment horizontal="center"/>
    </xf>
    <xf numFmtId="166" fontId="1" fillId="0" borderId="14" xfId="0" applyNumberFormat="1" applyFont="1" applyBorder="1" applyAlignment="1">
      <alignment/>
    </xf>
    <xf numFmtId="171" fontId="1" fillId="0" borderId="12" xfId="0" applyNumberFormat="1" applyFont="1" applyBorder="1" applyAlignment="1">
      <alignment horizontal="center"/>
    </xf>
    <xf numFmtId="171" fontId="1" fillId="0" borderId="22" xfId="0" applyNumberFormat="1" applyFont="1" applyBorder="1" applyAlignment="1">
      <alignment horizontal="center"/>
    </xf>
    <xf numFmtId="166" fontId="1" fillId="0" borderId="22" xfId="0" applyNumberFormat="1" applyFont="1" applyBorder="1" applyAlignment="1">
      <alignment/>
    </xf>
    <xf numFmtId="0" fontId="1" fillId="0" borderId="22" xfId="0" applyFont="1" applyBorder="1" applyAlignment="1">
      <alignment/>
    </xf>
    <xf numFmtId="0" fontId="1" fillId="0" borderId="34" xfId="0" applyFont="1" applyBorder="1" applyAlignment="1">
      <alignment/>
    </xf>
    <xf numFmtId="166" fontId="1" fillId="0" borderId="18" xfId="0" applyNumberFormat="1"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33" xfId="0" applyFont="1" applyBorder="1" applyAlignment="1">
      <alignment/>
    </xf>
    <xf numFmtId="4" fontId="0" fillId="0" borderId="0" xfId="0" applyNumberFormat="1" applyAlignment="1">
      <alignment/>
    </xf>
    <xf numFmtId="0" fontId="0" fillId="0" borderId="13" xfId="0" applyBorder="1" applyAlignment="1">
      <alignment/>
    </xf>
    <xf numFmtId="166" fontId="1" fillId="0" borderId="0" xfId="0" applyNumberFormat="1" applyFont="1" applyBorder="1" applyAlignment="1">
      <alignment horizontal="right"/>
    </xf>
    <xf numFmtId="166" fontId="1" fillId="0" borderId="0" xfId="0" applyNumberFormat="1" applyFont="1" applyAlignment="1">
      <alignment/>
    </xf>
    <xf numFmtId="166" fontId="0" fillId="0" borderId="0" xfId="0" applyNumberFormat="1" applyAlignment="1">
      <alignment/>
    </xf>
    <xf numFmtId="0" fontId="0" fillId="0" borderId="0" xfId="0" applyBorder="1" applyAlignment="1">
      <alignment/>
    </xf>
    <xf numFmtId="166" fontId="1" fillId="0" borderId="0" xfId="0" applyNumberFormat="1" applyFont="1" applyAlignment="1">
      <alignment horizontal="right"/>
    </xf>
    <xf numFmtId="0" fontId="13" fillId="0" borderId="0" xfId="0" applyFont="1" applyBorder="1" applyAlignment="1">
      <alignment horizontal="right"/>
    </xf>
    <xf numFmtId="0" fontId="1" fillId="0" borderId="0" xfId="0" applyFont="1" applyBorder="1" applyAlignment="1">
      <alignment horizontal="right"/>
    </xf>
    <xf numFmtId="171" fontId="1" fillId="0" borderId="0" xfId="0" applyNumberFormat="1" applyFont="1" applyBorder="1" applyAlignment="1">
      <alignment horizontal="right"/>
    </xf>
    <xf numFmtId="166" fontId="0" fillId="0" borderId="0" xfId="0" applyNumberFormat="1" applyBorder="1" applyAlignment="1">
      <alignment/>
    </xf>
    <xf numFmtId="0" fontId="34" fillId="0" borderId="0" xfId="0" applyFont="1" applyAlignment="1">
      <alignment/>
    </xf>
    <xf numFmtId="0" fontId="35" fillId="0" borderId="0" xfId="0" applyFont="1" applyAlignment="1">
      <alignment/>
    </xf>
    <xf numFmtId="165" fontId="32" fillId="0" borderId="0" xfId="0" applyNumberFormat="1" applyFont="1" applyAlignment="1">
      <alignment/>
    </xf>
    <xf numFmtId="0" fontId="16" fillId="0" borderId="24" xfId="0" applyFont="1" applyBorder="1" applyAlignment="1">
      <alignment/>
    </xf>
    <xf numFmtId="0" fontId="16" fillId="0" borderId="0" xfId="0" applyFont="1" applyBorder="1" applyAlignment="1">
      <alignment/>
    </xf>
    <xf numFmtId="0" fontId="16" fillId="0" borderId="34" xfId="0" applyFont="1" applyBorder="1" applyAlignment="1">
      <alignment/>
    </xf>
    <xf numFmtId="0" fontId="32" fillId="0" borderId="0" xfId="0" applyNumberFormat="1" applyFont="1" applyAlignment="1">
      <alignment horizontal="center"/>
    </xf>
    <xf numFmtId="0" fontId="16" fillId="0" borderId="24" xfId="0" applyNumberFormat="1" applyFont="1" applyBorder="1" applyAlignment="1">
      <alignment/>
    </xf>
    <xf numFmtId="0" fontId="0" fillId="0" borderId="0" xfId="0" applyNumberFormat="1" applyBorder="1" applyAlignment="1">
      <alignment/>
    </xf>
    <xf numFmtId="0" fontId="0" fillId="0" borderId="0" xfId="0" applyNumberFormat="1" applyAlignment="1">
      <alignment/>
    </xf>
    <xf numFmtId="0" fontId="1" fillId="0" borderId="33" xfId="0" applyFont="1" applyBorder="1" applyAlignment="1">
      <alignment vertical="center" wrapText="1"/>
    </xf>
    <xf numFmtId="0" fontId="1" fillId="0" borderId="18" xfId="0" applyFont="1" applyBorder="1" applyAlignment="1">
      <alignment horizontal="center" vertical="center" wrapText="1"/>
    </xf>
    <xf numFmtId="172" fontId="1" fillId="0" borderId="16"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6" xfId="0" applyNumberFormat="1" applyFont="1" applyBorder="1" applyAlignment="1">
      <alignment vertical="center"/>
    </xf>
    <xf numFmtId="165" fontId="32" fillId="0" borderId="24" xfId="0" applyNumberFormat="1" applyFont="1" applyBorder="1" applyAlignment="1">
      <alignment horizontal="center"/>
    </xf>
    <xf numFmtId="0" fontId="0" fillId="0" borderId="24" xfId="0" applyBorder="1" applyAlignment="1">
      <alignment/>
    </xf>
    <xf numFmtId="0" fontId="33" fillId="0" borderId="15" xfId="0" applyNumberFormat="1" applyFont="1" applyBorder="1" applyAlignment="1">
      <alignment horizontal="center" vertical="center" wrapText="1"/>
    </xf>
    <xf numFmtId="0" fontId="32" fillId="0" borderId="16" xfId="0" applyNumberFormat="1" applyFont="1" applyBorder="1" applyAlignment="1">
      <alignment horizontal="center" vertical="center" wrapText="1"/>
    </xf>
    <xf numFmtId="0" fontId="33" fillId="0" borderId="16" xfId="0" applyNumberFormat="1" applyFont="1" applyBorder="1" applyAlignment="1">
      <alignment horizontal="center" vertical="center" wrapText="1"/>
    </xf>
    <xf numFmtId="0" fontId="36" fillId="0" borderId="14" xfId="0" applyNumberFormat="1" applyFont="1" applyBorder="1" applyAlignment="1">
      <alignment/>
    </xf>
    <xf numFmtId="166" fontId="0" fillId="0" borderId="14" xfId="0" applyNumberFormat="1" applyBorder="1" applyAlignment="1">
      <alignment/>
    </xf>
    <xf numFmtId="171" fontId="1" fillId="0" borderId="14" xfId="0" applyNumberFormat="1" applyFont="1" applyBorder="1" applyAlignment="1">
      <alignment horizontal="left"/>
    </xf>
    <xf numFmtId="166" fontId="0" fillId="0" borderId="16" xfId="0" applyNumberFormat="1" applyBorder="1" applyAlignment="1">
      <alignment/>
    </xf>
    <xf numFmtId="166" fontId="1" fillId="0" borderId="15" xfId="0" applyNumberFormat="1" applyFont="1" applyBorder="1" applyAlignment="1">
      <alignment/>
    </xf>
    <xf numFmtId="165" fontId="32" fillId="0" borderId="0" xfId="0" applyNumberFormat="1" applyFont="1" applyBorder="1" applyAlignment="1">
      <alignment horizontal="right"/>
    </xf>
    <xf numFmtId="166" fontId="0" fillId="0" borderId="17" xfId="0" applyNumberFormat="1" applyBorder="1" applyAlignment="1">
      <alignment/>
    </xf>
    <xf numFmtId="166" fontId="0" fillId="0" borderId="18" xfId="0" applyNumberFormat="1" applyBorder="1" applyAlignment="1">
      <alignment/>
    </xf>
    <xf numFmtId="171" fontId="1" fillId="0" borderId="0" xfId="0" applyNumberFormat="1" applyFont="1" applyBorder="1" applyAlignment="1">
      <alignment horizontal="left"/>
    </xf>
    <xf numFmtId="165" fontId="32" fillId="0" borderId="0" xfId="0" applyNumberFormat="1" applyFont="1" applyBorder="1" applyAlignment="1">
      <alignment/>
    </xf>
    <xf numFmtId="165" fontId="0" fillId="0" borderId="0" xfId="0" applyNumberFormat="1" applyAlignment="1">
      <alignment/>
    </xf>
    <xf numFmtId="4" fontId="0" fillId="0" borderId="0" xfId="0" applyNumberFormat="1" applyBorder="1" applyAlignment="1">
      <alignment/>
    </xf>
    <xf numFmtId="166" fontId="32" fillId="0" borderId="0" xfId="0" applyNumberFormat="1" applyFont="1" applyBorder="1" applyAlignment="1">
      <alignment/>
    </xf>
    <xf numFmtId="171" fontId="33" fillId="0" borderId="0" xfId="0" applyNumberFormat="1" applyFont="1" applyBorder="1" applyAlignment="1">
      <alignment horizontal="left"/>
    </xf>
    <xf numFmtId="166" fontId="35" fillId="0" borderId="0" xfId="0" applyNumberFormat="1" applyFont="1" applyBorder="1" applyAlignment="1">
      <alignment/>
    </xf>
    <xf numFmtId="165" fontId="13" fillId="0" borderId="0" xfId="0" applyNumberFormat="1" applyFont="1" applyAlignment="1">
      <alignment/>
    </xf>
    <xf numFmtId="4" fontId="13" fillId="0" borderId="0" xfId="0" applyNumberFormat="1" applyFont="1" applyAlignment="1">
      <alignment/>
    </xf>
    <xf numFmtId="166" fontId="13" fillId="0" borderId="0" xfId="0" applyNumberFormat="1" applyFont="1" applyAlignment="1">
      <alignment/>
    </xf>
    <xf numFmtId="165" fontId="32" fillId="0" borderId="0" xfId="0" applyNumberFormat="1" applyFont="1" applyAlignment="1">
      <alignment/>
    </xf>
    <xf numFmtId="0" fontId="1" fillId="0" borderId="0" xfId="17">
      <alignment/>
      <protection/>
    </xf>
    <xf numFmtId="0" fontId="1" fillId="0" borderId="1" xfId="17" applyBorder="1">
      <alignment/>
      <protection/>
    </xf>
    <xf numFmtId="0" fontId="1" fillId="0" borderId="2" xfId="17" applyBorder="1">
      <alignment/>
      <protection/>
    </xf>
    <xf numFmtId="0" fontId="1" fillId="0" borderId="3" xfId="17" applyBorder="1">
      <alignment/>
      <protection/>
    </xf>
    <xf numFmtId="0" fontId="1" fillId="0" borderId="4" xfId="17" applyBorder="1">
      <alignment/>
      <protection/>
    </xf>
    <xf numFmtId="0" fontId="1" fillId="0" borderId="26" xfId="17" applyBorder="1">
      <alignment/>
      <protection/>
    </xf>
    <xf numFmtId="0" fontId="1" fillId="0" borderId="7" xfId="17" applyBorder="1">
      <alignment/>
      <protection/>
    </xf>
    <xf numFmtId="0" fontId="1" fillId="0" borderId="27" xfId="17" applyBorder="1">
      <alignment/>
      <protection/>
    </xf>
    <xf numFmtId="0" fontId="1" fillId="0" borderId="5" xfId="17" applyBorder="1">
      <alignment/>
      <protection/>
    </xf>
    <xf numFmtId="0" fontId="1" fillId="0" borderId="28" xfId="17" applyBorder="1">
      <alignment/>
      <protection/>
    </xf>
    <xf numFmtId="0" fontId="1" fillId="0" borderId="0" xfId="17" applyBorder="1">
      <alignment/>
      <protection/>
    </xf>
    <xf numFmtId="0" fontId="22" fillId="0" borderId="0" xfId="17" applyFont="1" applyBorder="1">
      <alignment/>
      <protection/>
    </xf>
    <xf numFmtId="0" fontId="1" fillId="0" borderId="29" xfId="17" applyBorder="1">
      <alignment/>
      <protection/>
    </xf>
    <xf numFmtId="0" fontId="19" fillId="0" borderId="0" xfId="17" applyFont="1" applyBorder="1" applyAlignment="1">
      <alignment/>
      <protection/>
    </xf>
    <xf numFmtId="0" fontId="22" fillId="0" borderId="0" xfId="17" applyFont="1" applyBorder="1" applyAlignment="1">
      <alignment/>
      <protection/>
    </xf>
    <xf numFmtId="165" fontId="1" fillId="0" borderId="0" xfId="17" applyNumberFormat="1" applyFont="1" applyBorder="1" applyAlignment="1">
      <alignment/>
      <protection/>
    </xf>
    <xf numFmtId="0" fontId="1" fillId="0" borderId="0" xfId="17" applyBorder="1" applyAlignment="1">
      <alignment/>
      <protection/>
    </xf>
    <xf numFmtId="0" fontId="13" fillId="0" borderId="0" xfId="0" applyFont="1" applyBorder="1" applyAlignment="1">
      <alignment/>
    </xf>
    <xf numFmtId="0" fontId="38" fillId="0" borderId="0" xfId="0" applyFont="1" applyBorder="1" applyAlignment="1">
      <alignment vertical="center" wrapText="1"/>
    </xf>
    <xf numFmtId="0" fontId="27" fillId="0" borderId="0" xfId="0" applyFont="1" applyBorder="1" applyAlignment="1">
      <alignment/>
    </xf>
    <xf numFmtId="0" fontId="40" fillId="0" borderId="0" xfId="17" applyFont="1" applyBorder="1" applyAlignment="1">
      <alignment horizontal="center"/>
      <protection/>
    </xf>
    <xf numFmtId="0" fontId="17" fillId="0" borderId="0" xfId="17" applyFont="1" applyBorder="1" applyAlignment="1">
      <alignment horizontal="left"/>
      <protection/>
    </xf>
    <xf numFmtId="0" fontId="1" fillId="0" borderId="35" xfId="17" applyBorder="1">
      <alignment/>
      <protection/>
    </xf>
    <xf numFmtId="0" fontId="1" fillId="0" borderId="36" xfId="17" applyBorder="1">
      <alignment/>
      <protection/>
    </xf>
    <xf numFmtId="0" fontId="1" fillId="0" borderId="37" xfId="17" applyBorder="1">
      <alignment/>
      <protection/>
    </xf>
    <xf numFmtId="0" fontId="1" fillId="0" borderId="0" xfId="17" applyAlignment="1">
      <alignment vertical="center"/>
      <protection/>
    </xf>
    <xf numFmtId="0" fontId="1" fillId="0" borderId="4" xfId="17" applyBorder="1" applyAlignment="1">
      <alignment vertical="center"/>
      <protection/>
    </xf>
    <xf numFmtId="0" fontId="1" fillId="0" borderId="28" xfId="17" applyBorder="1" applyAlignment="1">
      <alignment vertical="center"/>
      <protection/>
    </xf>
    <xf numFmtId="0" fontId="17" fillId="0" borderId="30" xfId="17" applyFont="1" applyBorder="1" applyAlignment="1">
      <alignment horizontal="left" vertical="center"/>
      <protection/>
    </xf>
    <xf numFmtId="0" fontId="17" fillId="0" borderId="31" xfId="17" applyFont="1" applyBorder="1" applyAlignment="1">
      <alignment horizontal="left" vertical="center"/>
      <protection/>
    </xf>
    <xf numFmtId="0" fontId="19" fillId="0" borderId="31" xfId="17" applyFont="1" applyBorder="1" applyAlignment="1">
      <alignment horizontal="left" vertical="center"/>
      <protection/>
    </xf>
    <xf numFmtId="0" fontId="19" fillId="0" borderId="32" xfId="17" applyFont="1" applyBorder="1" applyAlignment="1">
      <alignment horizontal="left" vertical="center"/>
      <protection/>
    </xf>
    <xf numFmtId="0" fontId="1" fillId="0" borderId="29" xfId="17" applyBorder="1" applyAlignment="1">
      <alignment vertical="center"/>
      <protection/>
    </xf>
    <xf numFmtId="0" fontId="1" fillId="0" borderId="5" xfId="17" applyBorder="1" applyAlignment="1">
      <alignment vertical="center"/>
      <protection/>
    </xf>
    <xf numFmtId="0" fontId="19" fillId="0" borderId="30" xfId="17" applyFont="1" applyBorder="1" applyAlignment="1">
      <alignment horizontal="left" vertical="center"/>
      <protection/>
    </xf>
    <xf numFmtId="0" fontId="1" fillId="0" borderId="30" xfId="17" applyBorder="1" applyAlignment="1">
      <alignment horizontal="left" vertical="center"/>
      <protection/>
    </xf>
    <xf numFmtId="0" fontId="1" fillId="0" borderId="31" xfId="17" applyBorder="1" applyAlignment="1">
      <alignment horizontal="left" vertical="center"/>
      <protection/>
    </xf>
    <xf numFmtId="0" fontId="1" fillId="0" borderId="31" xfId="17" applyFont="1" applyBorder="1" applyAlignment="1">
      <alignment vertical="center"/>
      <protection/>
    </xf>
    <xf numFmtId="0" fontId="1" fillId="0" borderId="31" xfId="17" applyBorder="1" applyAlignment="1">
      <alignment vertical="center"/>
      <protection/>
    </xf>
    <xf numFmtId="0" fontId="1" fillId="0" borderId="32" xfId="17" applyBorder="1" applyAlignment="1">
      <alignment vertical="center"/>
      <protection/>
    </xf>
    <xf numFmtId="0" fontId="1" fillId="0" borderId="0" xfId="17" applyBorder="1" applyAlignment="1">
      <alignment horizontal="left" vertical="center"/>
      <protection/>
    </xf>
    <xf numFmtId="0" fontId="1" fillId="0" borderId="0" xfId="17" applyFont="1" applyBorder="1" applyAlignment="1">
      <alignment vertical="center"/>
      <protection/>
    </xf>
    <xf numFmtId="0" fontId="1" fillId="0" borderId="0" xfId="17" applyBorder="1" applyAlignment="1">
      <alignment vertical="center"/>
      <protection/>
    </xf>
    <xf numFmtId="0" fontId="1" fillId="0" borderId="35" xfId="17" applyBorder="1" applyAlignment="1">
      <alignment horizontal="left" vertical="center"/>
      <protection/>
    </xf>
    <xf numFmtId="0" fontId="1" fillId="0" borderId="36" xfId="17" applyBorder="1" applyAlignment="1">
      <alignment horizontal="left" vertical="center"/>
      <protection/>
    </xf>
    <xf numFmtId="0" fontId="1" fillId="0" borderId="36" xfId="17" applyFont="1" applyBorder="1" applyAlignment="1">
      <alignment vertical="center"/>
      <protection/>
    </xf>
    <xf numFmtId="0" fontId="1" fillId="0" borderId="36" xfId="17" applyBorder="1" applyAlignment="1">
      <alignment vertical="center"/>
      <protection/>
    </xf>
    <xf numFmtId="0" fontId="1" fillId="0" borderId="37" xfId="17" applyBorder="1" applyAlignment="1">
      <alignment vertical="center"/>
      <protection/>
    </xf>
    <xf numFmtId="0" fontId="18" fillId="0" borderId="0" xfId="17" applyFont="1">
      <alignment/>
      <protection/>
    </xf>
    <xf numFmtId="0" fontId="18" fillId="0" borderId="4" xfId="17" applyFont="1" applyBorder="1">
      <alignment/>
      <protection/>
    </xf>
    <xf numFmtId="0" fontId="18" fillId="0" borderId="28" xfId="17" applyFont="1" applyBorder="1">
      <alignment/>
      <protection/>
    </xf>
    <xf numFmtId="0" fontId="17" fillId="0" borderId="32" xfId="17" applyFont="1" applyBorder="1" applyAlignment="1">
      <alignment horizontal="left" vertical="center"/>
      <protection/>
    </xf>
    <xf numFmtId="0" fontId="18" fillId="0" borderId="29" xfId="17" applyFont="1" applyBorder="1">
      <alignment/>
      <protection/>
    </xf>
    <xf numFmtId="0" fontId="18" fillId="0" borderId="5" xfId="17" applyFont="1" applyBorder="1">
      <alignment/>
      <protection/>
    </xf>
    <xf numFmtId="0" fontId="21" fillId="0" borderId="0" xfId="17" applyFont="1">
      <alignment/>
      <protection/>
    </xf>
    <xf numFmtId="0" fontId="21" fillId="0" borderId="4" xfId="17" applyFont="1" applyBorder="1">
      <alignment/>
      <protection/>
    </xf>
    <xf numFmtId="0" fontId="21" fillId="0" borderId="28" xfId="17" applyFont="1" applyBorder="1">
      <alignment/>
      <protection/>
    </xf>
    <xf numFmtId="0" fontId="21" fillId="0" borderId="29" xfId="17" applyFont="1" applyBorder="1">
      <alignment/>
      <protection/>
    </xf>
    <xf numFmtId="0" fontId="21" fillId="0" borderId="5" xfId="17" applyFont="1" applyBorder="1">
      <alignment/>
      <protection/>
    </xf>
    <xf numFmtId="0" fontId="1" fillId="0" borderId="30" xfId="17" applyFont="1" applyBorder="1" applyAlignment="1">
      <alignment horizontal="left" vertical="center"/>
      <protection/>
    </xf>
    <xf numFmtId="0" fontId="1" fillId="0" borderId="31" xfId="17" applyFont="1" applyBorder="1" applyAlignment="1">
      <alignment horizontal="left" vertical="center"/>
      <protection/>
    </xf>
    <xf numFmtId="0" fontId="1" fillId="0" borderId="31" xfId="17" applyBorder="1" applyAlignment="1">
      <alignment horizontal="left" vertical="center" wrapText="1"/>
      <protection/>
    </xf>
    <xf numFmtId="0" fontId="1" fillId="0" borderId="31" xfId="17" applyBorder="1" applyAlignment="1">
      <alignment vertical="center" wrapText="1"/>
      <protection/>
    </xf>
    <xf numFmtId="0" fontId="1" fillId="0" borderId="32" xfId="17" applyBorder="1" applyAlignment="1">
      <alignment vertical="center" wrapText="1"/>
      <protection/>
    </xf>
    <xf numFmtId="0" fontId="41" fillId="0" borderId="0" xfId="17" applyFont="1">
      <alignment/>
      <protection/>
    </xf>
    <xf numFmtId="0" fontId="41" fillId="0" borderId="4" xfId="17" applyFont="1" applyBorder="1">
      <alignment/>
      <protection/>
    </xf>
    <xf numFmtId="0" fontId="41" fillId="0" borderId="28" xfId="17" applyFont="1" applyBorder="1">
      <alignment/>
      <protection/>
    </xf>
    <xf numFmtId="0" fontId="1" fillId="0" borderId="0" xfId="17" applyFont="1" applyBorder="1">
      <alignment/>
      <protection/>
    </xf>
    <xf numFmtId="0" fontId="41" fillId="0" borderId="0" xfId="17" applyFont="1" applyBorder="1">
      <alignment/>
      <protection/>
    </xf>
    <xf numFmtId="0" fontId="41" fillId="0" borderId="29" xfId="17" applyFont="1" applyBorder="1">
      <alignment/>
      <protection/>
    </xf>
    <xf numFmtId="0" fontId="41" fillId="0" borderId="5" xfId="17" applyFont="1" applyBorder="1">
      <alignment/>
      <protection/>
    </xf>
    <xf numFmtId="0" fontId="42" fillId="0" borderId="0" xfId="17" applyFont="1" applyBorder="1">
      <alignment/>
      <protection/>
    </xf>
    <xf numFmtId="165" fontId="1" fillId="0" borderId="0" xfId="17" applyNumberFormat="1" applyFont="1" applyBorder="1" applyAlignment="1">
      <alignment horizontal="center"/>
      <protection/>
    </xf>
    <xf numFmtId="0" fontId="1" fillId="0" borderId="0" xfId="17" applyNumberFormat="1" applyFont="1" applyBorder="1" applyAlignment="1">
      <alignment horizontal="center"/>
      <protection/>
    </xf>
    <xf numFmtId="0" fontId="1" fillId="0" borderId="0" xfId="17" applyNumberFormat="1" applyFont="1" applyBorder="1" applyAlignment="1">
      <alignment/>
      <protection/>
    </xf>
    <xf numFmtId="0" fontId="1" fillId="0" borderId="30" xfId="17" applyBorder="1">
      <alignment/>
      <protection/>
    </xf>
    <xf numFmtId="0" fontId="1" fillId="0" borderId="31" xfId="17" applyBorder="1">
      <alignment/>
      <protection/>
    </xf>
    <xf numFmtId="0" fontId="1" fillId="0" borderId="32" xfId="17" applyBorder="1">
      <alignment/>
      <protection/>
    </xf>
    <xf numFmtId="0" fontId="1" fillId="0" borderId="9" xfId="17" applyBorder="1">
      <alignment/>
      <protection/>
    </xf>
    <xf numFmtId="0" fontId="1" fillId="0" borderId="10" xfId="17" applyBorder="1">
      <alignment/>
      <protection/>
    </xf>
    <xf numFmtId="0" fontId="1" fillId="0" borderId="11" xfId="17" applyBorder="1">
      <alignment/>
      <protection/>
    </xf>
    <xf numFmtId="0" fontId="4" fillId="0" borderId="0" xfId="17" applyFont="1" applyBorder="1">
      <alignment/>
      <protection/>
    </xf>
    <xf numFmtId="0" fontId="43" fillId="0" borderId="0" xfId="0" applyFont="1" applyBorder="1" applyAlignment="1">
      <alignment horizontal="center" vertical="center"/>
    </xf>
    <xf numFmtId="0" fontId="43" fillId="0" borderId="0" xfId="0" applyFont="1" applyBorder="1" applyAlignment="1">
      <alignment vertical="center" wrapText="1"/>
    </xf>
    <xf numFmtId="0" fontId="1" fillId="0" borderId="36" xfId="17" applyBorder="1" applyAlignment="1">
      <alignment vertical="center" wrapText="1"/>
      <protection/>
    </xf>
    <xf numFmtId="0" fontId="1" fillId="0" borderId="32" xfId="17" applyBorder="1" applyAlignment="1">
      <alignment horizontal="left" vertical="center"/>
      <protection/>
    </xf>
    <xf numFmtId="0" fontId="1" fillId="0" borderId="37" xfId="17" applyBorder="1" applyAlignment="1">
      <alignment horizontal="left" vertical="center"/>
      <protection/>
    </xf>
    <xf numFmtId="0" fontId="1" fillId="0" borderId="24" xfId="17" applyFont="1" applyBorder="1" applyAlignment="1">
      <alignment horizontal="left" vertical="center"/>
      <protection/>
    </xf>
    <xf numFmtId="0" fontId="1" fillId="0" borderId="38" xfId="17" applyFont="1" applyBorder="1" applyAlignment="1">
      <alignment horizontal="center" vertical="center"/>
      <protection/>
    </xf>
    <xf numFmtId="0" fontId="1" fillId="0" borderId="36" xfId="17" applyFont="1" applyBorder="1" applyAlignment="1">
      <alignment horizontal="left" vertical="center"/>
      <protection/>
    </xf>
    <xf numFmtId="0" fontId="1" fillId="0" borderId="37" xfId="17" applyFont="1" applyBorder="1" applyAlignment="1">
      <alignment horizontal="left" vertical="center"/>
      <protection/>
    </xf>
    <xf numFmtId="0" fontId="2" fillId="0" borderId="0" xfId="0" applyFont="1" applyBorder="1" applyAlignment="1">
      <alignment horizontal="center"/>
    </xf>
    <xf numFmtId="0" fontId="2" fillId="0" borderId="0" xfId="0" applyFont="1" applyAlignment="1">
      <alignment horizontal="center"/>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5" xfId="0" applyBorder="1" applyAlignment="1">
      <alignment horizontal="center" vertical="center"/>
    </xf>
    <xf numFmtId="0" fontId="3" fillId="0" borderId="42" xfId="0" applyFont="1" applyBorder="1" applyAlignment="1">
      <alignment horizontal="center" vertical="center" wrapText="1"/>
    </xf>
    <xf numFmtId="0" fontId="4" fillId="0" borderId="42" xfId="0" applyFont="1" applyBorder="1" applyAlignment="1">
      <alignment horizontal="center" vertical="center" wrapText="1"/>
    </xf>
    <xf numFmtId="0" fontId="9" fillId="0" borderId="42" xfId="0" applyFont="1" applyBorder="1" applyAlignment="1">
      <alignment horizontal="center" vertical="center"/>
    </xf>
    <xf numFmtId="0" fontId="10"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 fontId="0" fillId="0" borderId="45" xfId="0" applyNumberFormat="1" applyBorder="1" applyAlignment="1">
      <alignment horizontal="center" vertical="center"/>
    </xf>
    <xf numFmtId="0" fontId="0" fillId="0" borderId="46" xfId="0" applyFont="1" applyBorder="1" applyAlignment="1">
      <alignment horizontal="center" vertical="center"/>
    </xf>
    <xf numFmtId="0" fontId="11"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Border="1" applyAlignment="1">
      <alignment horizontal="center" vertical="center"/>
    </xf>
    <xf numFmtId="0" fontId="12" fillId="0" borderId="51" xfId="0" applyFont="1" applyBorder="1" applyAlignment="1">
      <alignment horizontal="center" vertical="center"/>
    </xf>
    <xf numFmtId="0" fontId="10" fillId="0" borderId="42" xfId="0" applyFont="1" applyBorder="1" applyAlignment="1">
      <alignment horizont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4" fontId="1" fillId="0" borderId="55" xfId="0" applyNumberFormat="1" applyFont="1" applyBorder="1" applyAlignment="1">
      <alignment horizontal="center" vertical="center" wrapText="1"/>
    </xf>
    <xf numFmtId="0" fontId="0" fillId="0" borderId="56" xfId="0" applyBorder="1" applyAlignment="1">
      <alignment horizontal="center" vertical="center" wrapText="1"/>
    </xf>
    <xf numFmtId="165" fontId="13" fillId="0" borderId="0" xfId="0" applyNumberFormat="1" applyFont="1" applyBorder="1" applyAlignment="1">
      <alignment horizontal="center"/>
    </xf>
    <xf numFmtId="166" fontId="13" fillId="0" borderId="0" xfId="0" applyNumberFormat="1" applyFont="1" applyBorder="1" applyAlignment="1" applyProtection="1">
      <alignment horizontal="left"/>
      <protection locked="0"/>
    </xf>
    <xf numFmtId="166" fontId="13" fillId="0" borderId="0" xfId="0" applyNumberFormat="1" applyFont="1" applyBorder="1" applyAlignment="1" applyProtection="1">
      <alignment horizontal="center"/>
      <protection locked="0"/>
    </xf>
    <xf numFmtId="0" fontId="17" fillId="0" borderId="25" xfId="0" applyFont="1" applyBorder="1" applyAlignment="1">
      <alignment horizontal="center"/>
    </xf>
    <xf numFmtId="0" fontId="19" fillId="0" borderId="25" xfId="0" applyFont="1" applyBorder="1" applyAlignment="1">
      <alignment horizontal="center" vertical="center"/>
    </xf>
    <xf numFmtId="0" fontId="19" fillId="0" borderId="35" xfId="0" applyFont="1" applyBorder="1" applyAlignment="1">
      <alignment horizontal="center" vertical="center"/>
    </xf>
    <xf numFmtId="0" fontId="8" fillId="0" borderId="25" xfId="0" applyFont="1" applyBorder="1" applyAlignment="1">
      <alignment horizontal="center" vertical="center"/>
    </xf>
    <xf numFmtId="0" fontId="8" fillId="0" borderId="35" xfId="0" applyFont="1" applyBorder="1" applyAlignment="1">
      <alignment horizontal="center" vertical="center"/>
    </xf>
    <xf numFmtId="0" fontId="20" fillId="0" borderId="57" xfId="0" applyFont="1" applyBorder="1" applyAlignment="1">
      <alignment horizontal="center"/>
    </xf>
    <xf numFmtId="0" fontId="4" fillId="0" borderId="25" xfId="0" applyFont="1" applyBorder="1" applyAlignment="1">
      <alignment horizontal="center"/>
    </xf>
    <xf numFmtId="0" fontId="19" fillId="0" borderId="25" xfId="0" applyFont="1" applyBorder="1" applyAlignment="1">
      <alignment horizontal="center"/>
    </xf>
    <xf numFmtId="0" fontId="8" fillId="0" borderId="25" xfId="0" applyFont="1" applyBorder="1" applyAlignment="1">
      <alignment horizontal="center" vertical="center" wrapText="1"/>
    </xf>
    <xf numFmtId="0" fontId="22" fillId="0" borderId="35" xfId="0" applyFont="1" applyBorder="1" applyAlignment="1">
      <alignment horizontal="center" vertical="center" wrapText="1"/>
    </xf>
    <xf numFmtId="0" fontId="23" fillId="0" borderId="36" xfId="0" applyFont="1" applyBorder="1" applyAlignment="1">
      <alignment horizontal="right" vertical="center"/>
    </xf>
    <xf numFmtId="0" fontId="23" fillId="0" borderId="37" xfId="0" applyFont="1" applyBorder="1" applyAlignment="1">
      <alignment horizontal="left" vertical="center"/>
    </xf>
    <xf numFmtId="0" fontId="19" fillId="0" borderId="25" xfId="0" applyFont="1" applyBorder="1" applyAlignment="1">
      <alignment horizontal="center" vertical="center" wrapText="1"/>
    </xf>
    <xf numFmtId="0" fontId="22" fillId="0" borderId="25" xfId="0" applyFont="1" applyBorder="1" applyAlignment="1">
      <alignment horizontal="center" vertical="center"/>
    </xf>
    <xf numFmtId="0" fontId="8" fillId="0" borderId="25" xfId="0" applyFont="1" applyBorder="1" applyAlignment="1">
      <alignment horizontal="center"/>
    </xf>
    <xf numFmtId="2" fontId="8" fillId="0" borderId="25" xfId="0" applyNumberFormat="1" applyFont="1" applyBorder="1" applyAlignment="1">
      <alignment horizontal="center"/>
    </xf>
    <xf numFmtId="0" fontId="3" fillId="0" borderId="26" xfId="0" applyFont="1" applyBorder="1" applyAlignment="1">
      <alignment horizontal="center"/>
    </xf>
    <xf numFmtId="0" fontId="3" fillId="0" borderId="45" xfId="0" applyFont="1" applyBorder="1" applyAlignment="1">
      <alignment horizontal="center"/>
    </xf>
    <xf numFmtId="0" fontId="3" fillId="0" borderId="30" xfId="0" applyFont="1" applyBorder="1" applyAlignment="1">
      <alignment horizontal="center"/>
    </xf>
    <xf numFmtId="165" fontId="12" fillId="0" borderId="0" xfId="0" applyNumberFormat="1" applyFont="1" applyBorder="1" applyAlignment="1">
      <alignment horizontal="left"/>
    </xf>
    <xf numFmtId="0" fontId="26" fillId="0" borderId="0" xfId="0" applyFont="1" applyBorder="1" applyAlignment="1" applyProtection="1">
      <alignment horizontal="left"/>
      <protection locked="0"/>
    </xf>
    <xf numFmtId="0" fontId="26" fillId="0" borderId="0" xfId="0" applyFont="1" applyBorder="1" applyAlignment="1">
      <alignment horizontal="left"/>
    </xf>
    <xf numFmtId="0" fontId="26" fillId="0" borderId="0" xfId="0" applyFont="1" applyAlignment="1">
      <alignment horizontal="left"/>
    </xf>
    <xf numFmtId="165" fontId="12" fillId="0" borderId="0" xfId="0" applyNumberFormat="1" applyFont="1" applyBorder="1" applyAlignment="1">
      <alignment horizontal="left" vertical="center" wrapText="1"/>
    </xf>
    <xf numFmtId="0" fontId="26" fillId="0" borderId="0" xfId="0" applyFont="1" applyBorder="1" applyAlignment="1">
      <alignment horizontal="left" vertical="center" wrapText="1"/>
    </xf>
    <xf numFmtId="0" fontId="25" fillId="0" borderId="25" xfId="0" applyFont="1" applyBorder="1" applyAlignment="1">
      <alignment horizontal="center"/>
    </xf>
    <xf numFmtId="0" fontId="25" fillId="0" borderId="25" xfId="0" applyFont="1" applyBorder="1" applyAlignment="1" applyProtection="1">
      <alignment horizontal="center" vertical="center" wrapText="1"/>
      <protection locked="0"/>
    </xf>
    <xf numFmtId="1" fontId="25" fillId="0" borderId="25" xfId="0" applyNumberFormat="1" applyFont="1" applyBorder="1" applyAlignment="1" applyProtection="1">
      <alignment horizontal="center" vertical="center" wrapText="1"/>
      <protection locked="0"/>
    </xf>
    <xf numFmtId="0" fontId="25" fillId="0" borderId="25" xfId="0" applyFont="1" applyBorder="1" applyAlignment="1">
      <alignment horizontal="center" vertical="center" wrapText="1"/>
    </xf>
    <xf numFmtId="0" fontId="25" fillId="0" borderId="25" xfId="0" applyFont="1" applyBorder="1" applyAlignment="1">
      <alignment horizontal="left" vertical="center" wrapText="1"/>
    </xf>
    <xf numFmtId="0" fontId="25" fillId="0" borderId="35" xfId="0" applyFont="1" applyBorder="1" applyAlignment="1" applyProtection="1">
      <alignment horizontal="center" vertical="center" wrapText="1"/>
      <protection locked="0"/>
    </xf>
    <xf numFmtId="167" fontId="25" fillId="0" borderId="25" xfId="0" applyNumberFormat="1" applyFont="1" applyBorder="1" applyAlignment="1" applyProtection="1">
      <alignment horizontal="center" vertical="center" wrapText="1"/>
      <protection locked="0"/>
    </xf>
    <xf numFmtId="166" fontId="12" fillId="0" borderId="0" xfId="0" applyNumberFormat="1" applyFont="1" applyBorder="1" applyAlignment="1">
      <alignment horizontal="center"/>
    </xf>
    <xf numFmtId="166" fontId="0" fillId="0" borderId="0" xfId="0" applyNumberFormat="1" applyAlignment="1">
      <alignment/>
    </xf>
    <xf numFmtId="168" fontId="12" fillId="0" borderId="0" xfId="0" applyNumberFormat="1" applyFont="1" applyBorder="1" applyAlignment="1">
      <alignment horizontal="center"/>
    </xf>
    <xf numFmtId="0" fontId="12" fillId="0" borderId="0" xfId="0" applyFont="1" applyBorder="1" applyAlignment="1">
      <alignment horizontal="center"/>
    </xf>
    <xf numFmtId="169" fontId="12" fillId="0" borderId="0" xfId="0" applyNumberFormat="1" applyFont="1" applyBorder="1" applyAlignment="1" applyProtection="1">
      <alignment horizontal="center"/>
      <protection locked="0"/>
    </xf>
    <xf numFmtId="0" fontId="12" fillId="0" borderId="0" xfId="0" applyFont="1" applyAlignment="1">
      <alignment wrapText="1"/>
    </xf>
    <xf numFmtId="0" fontId="25" fillId="0" borderId="0" xfId="0" applyFont="1" applyBorder="1" applyAlignment="1">
      <alignment horizontal="center"/>
    </xf>
    <xf numFmtId="0" fontId="25" fillId="0" borderId="0" xfId="0" applyFont="1" applyBorder="1" applyAlignment="1">
      <alignment horizontal="center" vertical="top" wrapText="1" shrinkToFit="1"/>
    </xf>
    <xf numFmtId="0" fontId="25" fillId="0" borderId="0" xfId="0" applyFont="1" applyBorder="1" applyAlignment="1">
      <alignment horizontal="center" vertical="top"/>
    </xf>
    <xf numFmtId="0" fontId="25" fillId="0" borderId="0" xfId="0" applyFont="1" applyBorder="1" applyAlignment="1">
      <alignment horizontal="center" vertical="top" wrapText="1"/>
    </xf>
    <xf numFmtId="0" fontId="3" fillId="0" borderId="0" xfId="0" applyFont="1" applyBorder="1" applyAlignment="1">
      <alignment horizontal="center" vertical="center" wrapText="1"/>
    </xf>
    <xf numFmtId="165" fontId="0" fillId="0" borderId="0" xfId="0" applyNumberFormat="1" applyFont="1" applyBorder="1" applyAlignment="1">
      <alignment horizontal="right"/>
    </xf>
    <xf numFmtId="0" fontId="1" fillId="0" borderId="0" xfId="0" applyNumberFormat="1" applyFont="1" applyBorder="1" applyAlignment="1">
      <alignment horizontal="right" vertical="center" wrapText="1"/>
    </xf>
    <xf numFmtId="0" fontId="30" fillId="0" borderId="0" xfId="0" applyNumberFormat="1" applyFont="1" applyBorder="1" applyAlignment="1">
      <alignment horizontal="left" vertical="center" wrapText="1"/>
    </xf>
    <xf numFmtId="165" fontId="0" fillId="0" borderId="0" xfId="0" applyNumberFormat="1" applyFont="1" applyBorder="1" applyAlignment="1">
      <alignment horizontal="center"/>
    </xf>
    <xf numFmtId="0" fontId="1" fillId="0" borderId="16" xfId="0" applyFont="1" applyBorder="1" applyAlignment="1">
      <alignment horizontal="center" vertical="center" wrapText="1"/>
    </xf>
    <xf numFmtId="2" fontId="1" fillId="0" borderId="16" xfId="0" applyNumberFormat="1" applyFont="1" applyBorder="1" applyAlignment="1">
      <alignment horizontal="center" vertical="center"/>
    </xf>
    <xf numFmtId="166" fontId="1" fillId="0" borderId="16" xfId="0" applyNumberFormat="1" applyFont="1" applyBorder="1" applyAlignment="1">
      <alignment horizontal="center" vertical="center"/>
    </xf>
    <xf numFmtId="0" fontId="22" fillId="0" borderId="12"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17" xfId="0" applyFont="1" applyBorder="1" applyAlignment="1" applyProtection="1">
      <alignment horizontal="left" vertical="center"/>
      <protection locked="0"/>
    </xf>
    <xf numFmtId="0" fontId="1" fillId="0" borderId="17" xfId="0" applyNumberFormat="1" applyFont="1" applyBorder="1" applyAlignment="1">
      <alignment horizontal="center" vertical="center"/>
    </xf>
    <xf numFmtId="0" fontId="1" fillId="0" borderId="16" xfId="0" applyNumberFormat="1" applyFont="1" applyBorder="1" applyAlignment="1">
      <alignment horizontal="center" vertical="center" wrapText="1"/>
    </xf>
    <xf numFmtId="0" fontId="32" fillId="0" borderId="0" xfId="0" applyFont="1" applyAlignment="1">
      <alignment horizontal="center"/>
    </xf>
    <xf numFmtId="166" fontId="1" fillId="0" borderId="16" xfId="0" applyNumberFormat="1" applyFont="1" applyBorder="1" applyAlignment="1">
      <alignment horizontal="right"/>
    </xf>
    <xf numFmtId="171" fontId="33" fillId="0" borderId="16" xfId="0" applyNumberFormat="1" applyFont="1" applyBorder="1" applyAlignment="1">
      <alignment horizontal="center"/>
    </xf>
    <xf numFmtId="171" fontId="33" fillId="0" borderId="16" xfId="0" applyNumberFormat="1" applyFont="1" applyBorder="1" applyAlignment="1">
      <alignment horizontal="right"/>
    </xf>
    <xf numFmtId="166" fontId="1" fillId="0" borderId="18" xfId="0" applyNumberFormat="1" applyFont="1" applyBorder="1" applyAlignment="1">
      <alignment horizontal="right"/>
    </xf>
    <xf numFmtId="0" fontId="0" fillId="0" borderId="0" xfId="0" applyFont="1" applyBorder="1" applyAlignment="1">
      <alignment horizontal="right"/>
    </xf>
    <xf numFmtId="166" fontId="1" fillId="0" borderId="0" xfId="0" applyNumberFormat="1" applyFont="1" applyBorder="1" applyAlignment="1">
      <alignment horizontal="right"/>
    </xf>
    <xf numFmtId="166" fontId="22" fillId="0" borderId="0" xfId="0" applyNumberFormat="1" applyFont="1" applyBorder="1" applyAlignment="1">
      <alignment horizontal="right"/>
    </xf>
    <xf numFmtId="166" fontId="1" fillId="0" borderId="0" xfId="0" applyNumberFormat="1" applyFont="1" applyBorder="1" applyAlignment="1">
      <alignment/>
    </xf>
    <xf numFmtId="0" fontId="1" fillId="0" borderId="16" xfId="0" applyNumberFormat="1" applyFont="1" applyBorder="1" applyAlignment="1">
      <alignment horizontal="center" vertical="center"/>
    </xf>
    <xf numFmtId="0" fontId="32" fillId="0" borderId="16" xfId="0" applyNumberFormat="1" applyFont="1" applyBorder="1" applyAlignment="1">
      <alignment horizontal="center" vertical="center" wrapText="1"/>
    </xf>
    <xf numFmtId="0" fontId="32" fillId="0" borderId="16" xfId="0" applyFont="1" applyBorder="1" applyAlignment="1">
      <alignment horizontal="center"/>
    </xf>
    <xf numFmtId="166" fontId="0" fillId="0" borderId="16" xfId="0" applyNumberFormat="1" applyBorder="1" applyAlignment="1">
      <alignment horizontal="right"/>
    </xf>
    <xf numFmtId="166" fontId="0" fillId="0" borderId="18" xfId="0" applyNumberFormat="1" applyBorder="1" applyAlignment="1">
      <alignment horizontal="right"/>
    </xf>
    <xf numFmtId="165" fontId="32" fillId="0" borderId="0" xfId="0" applyNumberFormat="1" applyFont="1" applyBorder="1" applyAlignment="1">
      <alignment horizontal="center"/>
    </xf>
    <xf numFmtId="165" fontId="35" fillId="0" borderId="0" xfId="0" applyNumberFormat="1" applyFont="1" applyBorder="1" applyAlignment="1">
      <alignment horizontal="center"/>
    </xf>
    <xf numFmtId="0" fontId="23" fillId="0" borderId="0" xfId="17" applyFont="1" applyBorder="1" applyAlignment="1">
      <alignment vertical="top"/>
      <protection/>
    </xf>
    <xf numFmtId="165" fontId="1" fillId="0" borderId="0" xfId="17" applyNumberFormat="1" applyFont="1" applyBorder="1" applyAlignment="1">
      <alignment horizontal="left" indent="2"/>
      <protection/>
    </xf>
    <xf numFmtId="0" fontId="23" fillId="0" borderId="0" xfId="17" applyFont="1" applyBorder="1" applyAlignment="1">
      <alignment vertical="center"/>
      <protection/>
    </xf>
    <xf numFmtId="0" fontId="37" fillId="0" borderId="0" xfId="0" applyFont="1" applyBorder="1" applyAlignment="1">
      <alignment/>
    </xf>
    <xf numFmtId="0" fontId="23" fillId="0" borderId="0" xfId="17" applyFont="1" applyBorder="1" applyAlignment="1">
      <alignment horizontal="center"/>
      <protection/>
    </xf>
    <xf numFmtId="0" fontId="1" fillId="0" borderId="41" xfId="17" applyFont="1" applyBorder="1" applyAlignment="1">
      <alignment horizontal="left" vertical="center"/>
      <protection/>
    </xf>
    <xf numFmtId="0" fontId="1" fillId="0" borderId="40" xfId="17" applyFont="1" applyBorder="1" applyAlignment="1">
      <alignment horizontal="left" vertical="center"/>
      <protection/>
    </xf>
    <xf numFmtId="0" fontId="1" fillId="0" borderId="40" xfId="17" applyFont="1" applyBorder="1" applyAlignment="1">
      <alignment horizontal="left" vertical="center" wrapText="1"/>
      <protection/>
    </xf>
    <xf numFmtId="0" fontId="1" fillId="0" borderId="40" xfId="17" applyBorder="1" applyAlignment="1">
      <alignment horizontal="left" vertical="center"/>
      <protection/>
    </xf>
    <xf numFmtId="0" fontId="1" fillId="0" borderId="25" xfId="17" applyFont="1" applyBorder="1" applyAlignment="1">
      <alignment horizontal="center" vertical="center"/>
      <protection/>
    </xf>
    <xf numFmtId="0" fontId="1" fillId="0" borderId="25" xfId="17" applyBorder="1" applyAlignment="1">
      <alignment horizontal="center" vertical="center"/>
      <protection/>
    </xf>
    <xf numFmtId="0" fontId="1" fillId="0" borderId="25" xfId="17" applyBorder="1" applyAlignment="1">
      <alignment horizontal="right" vertical="center"/>
      <protection/>
    </xf>
    <xf numFmtId="1" fontId="1" fillId="0" borderId="40" xfId="17" applyNumberFormat="1" applyBorder="1" applyAlignment="1">
      <alignment horizontal="left" vertical="center"/>
      <protection/>
    </xf>
    <xf numFmtId="0" fontId="1" fillId="0" borderId="25" xfId="17" applyFont="1" applyBorder="1" applyAlignment="1">
      <alignment horizontal="left" vertical="center"/>
      <protection/>
    </xf>
    <xf numFmtId="0" fontId="1" fillId="0" borderId="25" xfId="17" applyBorder="1" applyAlignment="1">
      <alignment horizontal="left" vertical="center"/>
      <protection/>
    </xf>
    <xf numFmtId="1" fontId="1" fillId="0" borderId="40" xfId="17" applyNumberFormat="1" applyFont="1" applyBorder="1" applyAlignment="1">
      <alignment horizontal="left" vertical="center" wrapText="1"/>
      <protection/>
    </xf>
    <xf numFmtId="0" fontId="1" fillId="0" borderId="25" xfId="17" applyFont="1" applyBorder="1" applyAlignment="1">
      <alignment horizontal="left" vertical="center" wrapText="1"/>
      <protection/>
    </xf>
    <xf numFmtId="0" fontId="1" fillId="0" borderId="58" xfId="17" applyBorder="1" applyAlignment="1">
      <alignment horizontal="left" vertical="center" wrapText="1"/>
      <protection/>
    </xf>
    <xf numFmtId="165" fontId="1" fillId="0" borderId="0" xfId="17" applyNumberFormat="1" applyFont="1" applyBorder="1" applyAlignment="1">
      <alignment horizontal="center"/>
      <protection/>
    </xf>
    <xf numFmtId="0" fontId="1" fillId="0" borderId="0" xfId="17" applyNumberFormat="1" applyFont="1" applyBorder="1" applyAlignment="1">
      <alignment horizontal="center"/>
      <protection/>
    </xf>
    <xf numFmtId="0" fontId="23" fillId="0" borderId="0" xfId="17" applyFont="1" applyBorder="1" applyAlignment="1">
      <alignment/>
      <protection/>
    </xf>
    <xf numFmtId="0" fontId="40" fillId="0" borderId="0" xfId="17" applyFont="1" applyBorder="1" applyAlignment="1">
      <alignment horizontal="center"/>
      <protection/>
    </xf>
    <xf numFmtId="165" fontId="1" fillId="0" borderId="25" xfId="17" applyNumberFormat="1" applyFont="1" applyBorder="1" applyAlignment="1">
      <alignment horizontal="center" vertical="center"/>
      <protection/>
    </xf>
    <xf numFmtId="0" fontId="1" fillId="0" borderId="25" xfId="17" applyFont="1" applyBorder="1" applyAlignment="1">
      <alignment vertical="center"/>
      <protection/>
    </xf>
    <xf numFmtId="0" fontId="1" fillId="0" borderId="25" xfId="17" applyBorder="1" applyAlignment="1">
      <alignment vertical="center"/>
      <protection/>
    </xf>
    <xf numFmtId="0" fontId="1" fillId="0" borderId="25" xfId="17" applyBorder="1" applyAlignment="1">
      <alignment vertical="center" wrapText="1"/>
      <protection/>
    </xf>
    <xf numFmtId="0" fontId="1" fillId="0" borderId="24" xfId="17" applyFont="1" applyBorder="1" applyAlignment="1">
      <alignment horizontal="left" vertical="center"/>
      <protection/>
    </xf>
    <xf numFmtId="0" fontId="2" fillId="0" borderId="0" xfId="0" applyFont="1" applyBorder="1" applyAlignment="1">
      <alignment horizontal="center"/>
    </xf>
    <xf numFmtId="0" fontId="31" fillId="0" borderId="0" xfId="0" applyFont="1" applyAlignment="1">
      <alignment horizontal="justify" vertical="top" wrapText="1"/>
    </xf>
    <xf numFmtId="169" fontId="0" fillId="0" borderId="0" xfId="0" applyNumberFormat="1" applyAlignment="1">
      <alignment/>
    </xf>
    <xf numFmtId="0" fontId="31" fillId="0" borderId="0" xfId="0" applyFont="1" applyBorder="1" applyAlignment="1">
      <alignment horizontal="center"/>
    </xf>
    <xf numFmtId="0" fontId="31" fillId="0" borderId="0" xfId="0" applyFont="1" applyBorder="1" applyAlignment="1">
      <alignment horizontal="left"/>
    </xf>
  </cellXfs>
  <cellStyles count="9">
    <cellStyle name="Normal" xfId="0"/>
    <cellStyle name="Comma" xfId="15"/>
    <cellStyle name="Comma [0]" xfId="16"/>
    <cellStyle name="Normal_denetim belgesi - lütfi" xfId="17"/>
    <cellStyle name="Normal_EK1 TESİSAT İLE EK2 MESLEKİ DEN. UCRETLERI 2006 (2)" xfId="18"/>
    <cellStyle name="Normal_MMOÜC98tus"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85725</xdr:colOff>
      <xdr:row>23</xdr:row>
      <xdr:rowOff>152400</xdr:rowOff>
    </xdr:from>
    <xdr:to>
      <xdr:col>16</xdr:col>
      <xdr:colOff>152400</xdr:colOff>
      <xdr:row>47</xdr:row>
      <xdr:rowOff>542925</xdr:rowOff>
    </xdr:to>
    <xdr:pic>
      <xdr:nvPicPr>
        <xdr:cNvPr id="1" name="mmo"/>
        <xdr:cNvPicPr preferRelativeResize="1">
          <a:picLocks noChangeAspect="1"/>
        </xdr:cNvPicPr>
      </xdr:nvPicPr>
      <xdr:blipFill>
        <a:blip r:embed="rId1"/>
        <a:stretch>
          <a:fillRect/>
        </a:stretch>
      </xdr:blipFill>
      <xdr:spPr>
        <a:xfrm>
          <a:off x="1743075" y="3695700"/>
          <a:ext cx="5000625" cy="50387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390525</xdr:colOff>
      <xdr:row>12</xdr:row>
      <xdr:rowOff>0</xdr:rowOff>
    </xdr:from>
    <xdr:to>
      <xdr:col>18</xdr:col>
      <xdr:colOff>28575</xdr:colOff>
      <xdr:row>14</xdr:row>
      <xdr:rowOff>133350</xdr:rowOff>
    </xdr:to>
    <xdr:sp fLocksText="0">
      <xdr:nvSpPr>
        <xdr:cNvPr id="1" name="TextBox 3"/>
        <xdr:cNvSpPr txBox="1">
          <a:spLocks noChangeArrowheads="1"/>
        </xdr:cNvSpPr>
      </xdr:nvSpPr>
      <xdr:spPr>
        <a:xfrm>
          <a:off x="7086600" y="1685925"/>
          <a:ext cx="466725" cy="4572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600" b="0" i="0" u="none" baseline="0">
              <a:latin typeface="Arial"/>
              <a:ea typeface="Arial"/>
              <a:cs typeface="Arial"/>
            </a:rPr>
            <a:t>Hologramsız
Belge
Geçersizdir</a:t>
          </a:r>
        </a:p>
      </xdr:txBody>
    </xdr:sp>
    <xdr:clientData/>
  </xdr:twoCellAnchor>
  <xdr:twoCellAnchor editAs="absolute">
    <xdr:from>
      <xdr:col>8</xdr:col>
      <xdr:colOff>85725</xdr:colOff>
      <xdr:row>23</xdr:row>
      <xdr:rowOff>152400</xdr:rowOff>
    </xdr:from>
    <xdr:to>
      <xdr:col>16</xdr:col>
      <xdr:colOff>38100</xdr:colOff>
      <xdr:row>49</xdr:row>
      <xdr:rowOff>142875</xdr:rowOff>
    </xdr:to>
    <xdr:pic>
      <xdr:nvPicPr>
        <xdr:cNvPr id="2" name="mmo"/>
        <xdr:cNvPicPr preferRelativeResize="1">
          <a:picLocks noChangeAspect="1"/>
        </xdr:cNvPicPr>
      </xdr:nvPicPr>
      <xdr:blipFill>
        <a:blip r:embed="rId1"/>
        <a:stretch>
          <a:fillRect/>
        </a:stretch>
      </xdr:blipFill>
      <xdr:spPr>
        <a:xfrm>
          <a:off x="1743075" y="3695700"/>
          <a:ext cx="4991100" cy="50387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85725</xdr:colOff>
      <xdr:row>23</xdr:row>
      <xdr:rowOff>123825</xdr:rowOff>
    </xdr:from>
    <xdr:to>
      <xdr:col>16</xdr:col>
      <xdr:colOff>38100</xdr:colOff>
      <xdr:row>47</xdr:row>
      <xdr:rowOff>514350</xdr:rowOff>
    </xdr:to>
    <xdr:pic>
      <xdr:nvPicPr>
        <xdr:cNvPr id="1" name="mmo"/>
        <xdr:cNvPicPr preferRelativeResize="1">
          <a:picLocks noChangeAspect="1"/>
        </xdr:cNvPicPr>
      </xdr:nvPicPr>
      <xdr:blipFill>
        <a:blip r:embed="rId1"/>
        <a:stretch>
          <a:fillRect/>
        </a:stretch>
      </xdr:blipFill>
      <xdr:spPr>
        <a:xfrm>
          <a:off x="1743075" y="3695700"/>
          <a:ext cx="4991100" cy="5038725"/>
        </a:xfrm>
        <a:prstGeom prst="rect">
          <a:avLst/>
        </a:prstGeom>
        <a:blipFill>
          <a:blip r:embed=""/>
          <a:srcRect/>
          <a:stretch>
            <a:fillRect/>
          </a:stretch>
        </a:blipFill>
        <a:ln w="9525" cmpd="sng">
          <a:noFill/>
        </a:ln>
      </xdr:spPr>
    </xdr:pic>
    <xdr:clientData/>
  </xdr:twoCellAnchor>
  <xdr:twoCellAnchor>
    <xdr:from>
      <xdr:col>16</xdr:col>
      <xdr:colOff>390525</xdr:colOff>
      <xdr:row>11</xdr:row>
      <xdr:rowOff>85725</xdr:rowOff>
    </xdr:from>
    <xdr:to>
      <xdr:col>18</xdr:col>
      <xdr:colOff>28575</xdr:colOff>
      <xdr:row>14</xdr:row>
      <xdr:rowOff>104775</xdr:rowOff>
    </xdr:to>
    <xdr:sp fLocksText="0">
      <xdr:nvSpPr>
        <xdr:cNvPr id="2" name="TextBox 3"/>
        <xdr:cNvSpPr txBox="1">
          <a:spLocks noChangeArrowheads="1"/>
        </xdr:cNvSpPr>
      </xdr:nvSpPr>
      <xdr:spPr>
        <a:xfrm>
          <a:off x="7086600" y="1666875"/>
          <a:ext cx="466725" cy="4667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600" b="0" i="0" u="none" baseline="0">
              <a:latin typeface="Arial"/>
              <a:ea typeface="Arial"/>
              <a:cs typeface="Arial"/>
            </a:rPr>
            <a:t>Hologramsız
Belge
Geçersizdir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85725</xdr:colOff>
      <xdr:row>23</xdr:row>
      <xdr:rowOff>152400</xdr:rowOff>
    </xdr:from>
    <xdr:to>
      <xdr:col>16</xdr:col>
      <xdr:colOff>38100</xdr:colOff>
      <xdr:row>48</xdr:row>
      <xdr:rowOff>342900</xdr:rowOff>
    </xdr:to>
    <xdr:pic>
      <xdr:nvPicPr>
        <xdr:cNvPr id="1" name="mmo"/>
        <xdr:cNvPicPr preferRelativeResize="1">
          <a:picLocks noChangeAspect="1"/>
        </xdr:cNvPicPr>
      </xdr:nvPicPr>
      <xdr:blipFill>
        <a:blip r:embed="rId1"/>
        <a:stretch>
          <a:fillRect/>
        </a:stretch>
      </xdr:blipFill>
      <xdr:spPr>
        <a:xfrm>
          <a:off x="1743075" y="3705225"/>
          <a:ext cx="4991100" cy="5038725"/>
        </a:xfrm>
        <a:prstGeom prst="rect">
          <a:avLst/>
        </a:prstGeom>
        <a:blipFill>
          <a:blip r:embed=""/>
          <a:srcRect/>
          <a:stretch>
            <a:fillRect/>
          </a:stretch>
        </a:blipFill>
        <a:ln w="9525" cmpd="sng">
          <a:noFill/>
        </a:ln>
      </xdr:spPr>
    </xdr:pic>
    <xdr:clientData/>
  </xdr:twoCellAnchor>
  <xdr:twoCellAnchor>
    <xdr:from>
      <xdr:col>16</xdr:col>
      <xdr:colOff>390525</xdr:colOff>
      <xdr:row>12</xdr:row>
      <xdr:rowOff>0</xdr:rowOff>
    </xdr:from>
    <xdr:to>
      <xdr:col>18</xdr:col>
      <xdr:colOff>28575</xdr:colOff>
      <xdr:row>14</xdr:row>
      <xdr:rowOff>133350</xdr:rowOff>
    </xdr:to>
    <xdr:sp fLocksText="0">
      <xdr:nvSpPr>
        <xdr:cNvPr id="2" name="TextBox 3"/>
        <xdr:cNvSpPr txBox="1">
          <a:spLocks noChangeArrowheads="1"/>
        </xdr:cNvSpPr>
      </xdr:nvSpPr>
      <xdr:spPr>
        <a:xfrm>
          <a:off x="7086600" y="1657350"/>
          <a:ext cx="466725" cy="4572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600" b="0" i="0" u="none" baseline="0">
              <a:latin typeface="Arial"/>
              <a:ea typeface="Arial"/>
              <a:cs typeface="Arial"/>
            </a:rPr>
            <a:t>Hologramsız
Belge
Geçersizdir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Z55"/>
  <sheetViews>
    <sheetView showZeros="0" workbookViewId="0" topLeftCell="A1">
      <selection activeCell="BH1" sqref="BH1"/>
    </sheetView>
  </sheetViews>
  <sheetFormatPr defaultColWidth="9.140625" defaultRowHeight="12.75"/>
  <cols>
    <col min="1" max="1" width="1.1484375" style="0" customWidth="1"/>
    <col min="2" max="50" width="2.00390625" style="0" customWidth="1"/>
    <col min="51" max="51" width="0.9921875" style="0" customWidth="1"/>
    <col min="52" max="16384" width="2.00390625" style="0" customWidth="1"/>
  </cols>
  <sheetData>
    <row r="1" spans="1:51" ht="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row>
    <row r="2" spans="1:51" ht="7.5" customHeight="1">
      <c r="A2" s="4"/>
      <c r="B2" s="1"/>
      <c r="C2" s="2"/>
      <c r="D2" s="2"/>
      <c r="E2" s="2"/>
      <c r="F2" s="2"/>
      <c r="G2" s="2"/>
      <c r="H2" s="2"/>
      <c r="I2" s="2"/>
      <c r="J2" s="2"/>
      <c r="K2" s="2"/>
      <c r="L2" s="2"/>
      <c r="M2" s="2"/>
      <c r="N2" s="2"/>
      <c r="O2" s="2"/>
      <c r="P2" s="2"/>
      <c r="Q2" s="2"/>
      <c r="R2" s="2"/>
      <c r="S2" s="2"/>
      <c r="T2" s="2"/>
      <c r="U2" s="2"/>
      <c r="V2" s="2"/>
      <c r="W2" s="2"/>
      <c r="X2" s="3"/>
      <c r="Y2" s="1"/>
      <c r="Z2" s="2"/>
      <c r="AA2" s="2"/>
      <c r="AB2" s="2"/>
      <c r="AC2" s="2"/>
      <c r="AD2" s="2"/>
      <c r="AE2" s="2"/>
      <c r="AF2" s="2"/>
      <c r="AG2" s="2"/>
      <c r="AH2" s="2"/>
      <c r="AI2" s="2"/>
      <c r="AJ2" s="2"/>
      <c r="AK2" s="2"/>
      <c r="AL2" s="2"/>
      <c r="AM2" s="2"/>
      <c r="AN2" s="2"/>
      <c r="AO2" s="2"/>
      <c r="AP2" s="2"/>
      <c r="AQ2" s="2"/>
      <c r="AR2" s="2"/>
      <c r="AS2" s="2"/>
      <c r="AT2" s="2"/>
      <c r="AU2" s="2"/>
      <c r="AV2" s="2"/>
      <c r="AW2" s="2"/>
      <c r="AX2" s="3"/>
      <c r="AY2" s="5"/>
    </row>
    <row r="3" spans="1:51" ht="18">
      <c r="A3" s="4"/>
      <c r="B3" s="375" t="s">
        <v>0</v>
      </c>
      <c r="C3" s="375"/>
      <c r="D3" s="375"/>
      <c r="E3" s="375"/>
      <c r="F3" s="375"/>
      <c r="G3" s="375"/>
      <c r="H3" s="375"/>
      <c r="I3" s="375"/>
      <c r="J3" s="375"/>
      <c r="K3" s="375"/>
      <c r="L3" s="375"/>
      <c r="M3" s="375"/>
      <c r="N3" s="375"/>
      <c r="O3" s="375"/>
      <c r="P3" s="375"/>
      <c r="Q3" s="375"/>
      <c r="R3" s="375"/>
      <c r="S3" s="375"/>
      <c r="T3" s="375"/>
      <c r="U3" s="375"/>
      <c r="V3" s="375"/>
      <c r="W3" s="375"/>
      <c r="X3" s="375"/>
      <c r="Y3" s="375" t="s">
        <v>1</v>
      </c>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5"/>
    </row>
    <row r="4" spans="1:52" ht="24.75" customHeight="1">
      <c r="A4" s="4"/>
      <c r="B4" s="376" t="s">
        <v>2</v>
      </c>
      <c r="C4" s="376"/>
      <c r="D4" s="376"/>
      <c r="E4" s="376"/>
      <c r="F4" s="376"/>
      <c r="G4" s="376"/>
      <c r="H4" s="376"/>
      <c r="I4" s="376"/>
      <c r="J4" s="376"/>
      <c r="K4" s="377" t="s">
        <v>3</v>
      </c>
      <c r="L4" s="377"/>
      <c r="M4" s="377"/>
      <c r="N4" s="377"/>
      <c r="O4" s="377"/>
      <c r="P4" s="378" t="s">
        <v>4</v>
      </c>
      <c r="Q4" s="378"/>
      <c r="R4" s="378"/>
      <c r="S4" s="378"/>
      <c r="T4" s="378"/>
      <c r="U4" s="378"/>
      <c r="V4" s="378"/>
      <c r="W4" s="378"/>
      <c r="X4" s="378"/>
      <c r="Y4" s="376" t="s">
        <v>2</v>
      </c>
      <c r="Z4" s="376"/>
      <c r="AA4" s="376"/>
      <c r="AB4" s="376"/>
      <c r="AC4" s="376"/>
      <c r="AD4" s="376"/>
      <c r="AE4" s="376"/>
      <c r="AF4" s="376"/>
      <c r="AG4" s="376"/>
      <c r="AH4" s="377" t="s">
        <v>3</v>
      </c>
      <c r="AI4" s="377"/>
      <c r="AJ4" s="377"/>
      <c r="AK4" s="377"/>
      <c r="AL4" s="377"/>
      <c r="AM4" s="377" t="s">
        <v>4</v>
      </c>
      <c r="AN4" s="377"/>
      <c r="AO4" s="377"/>
      <c r="AP4" s="377"/>
      <c r="AQ4" s="377"/>
      <c r="AR4" s="377"/>
      <c r="AS4" s="377"/>
      <c r="AT4" s="377"/>
      <c r="AU4" s="378" t="s">
        <v>5</v>
      </c>
      <c r="AV4" s="378"/>
      <c r="AW4" s="378"/>
      <c r="AX4" s="378"/>
      <c r="AY4" s="6"/>
      <c r="AZ4" s="7"/>
    </row>
    <row r="5" spans="1:52" ht="30.75" customHeight="1">
      <c r="A5" s="4"/>
      <c r="B5" s="376"/>
      <c r="C5" s="376"/>
      <c r="D5" s="376"/>
      <c r="E5" s="376"/>
      <c r="F5" s="376"/>
      <c r="G5" s="376"/>
      <c r="H5" s="376"/>
      <c r="I5" s="376"/>
      <c r="J5" s="376"/>
      <c r="K5" s="377"/>
      <c r="L5" s="377"/>
      <c r="M5" s="377"/>
      <c r="N5" s="377"/>
      <c r="O5" s="377"/>
      <c r="P5" s="377"/>
      <c r="Q5" s="377"/>
      <c r="R5" s="377"/>
      <c r="S5" s="377"/>
      <c r="T5" s="377"/>
      <c r="U5" s="378"/>
      <c r="V5" s="378"/>
      <c r="W5" s="378"/>
      <c r="X5" s="378"/>
      <c r="Y5" s="376"/>
      <c r="Z5" s="376"/>
      <c r="AA5" s="376"/>
      <c r="AB5" s="376"/>
      <c r="AC5" s="376"/>
      <c r="AD5" s="376"/>
      <c r="AE5" s="376"/>
      <c r="AF5" s="376"/>
      <c r="AG5" s="376"/>
      <c r="AH5" s="377"/>
      <c r="AI5" s="377"/>
      <c r="AJ5" s="377"/>
      <c r="AK5" s="377"/>
      <c r="AL5" s="377"/>
      <c r="AM5" s="377"/>
      <c r="AN5" s="377"/>
      <c r="AO5" s="377"/>
      <c r="AP5" s="377"/>
      <c r="AQ5" s="377"/>
      <c r="AR5" s="379"/>
      <c r="AS5" s="379"/>
      <c r="AT5" s="379"/>
      <c r="AU5" s="378"/>
      <c r="AV5" s="378"/>
      <c r="AW5" s="378"/>
      <c r="AX5" s="378"/>
      <c r="AY5" s="6"/>
      <c r="AZ5" s="7"/>
    </row>
    <row r="6" spans="1:51" ht="12.75">
      <c r="A6" s="4"/>
      <c r="B6" s="8"/>
      <c r="C6" s="9"/>
      <c r="D6" s="9"/>
      <c r="E6" s="9"/>
      <c r="F6" s="9"/>
      <c r="G6" s="9"/>
      <c r="H6" s="9"/>
      <c r="I6" s="9"/>
      <c r="J6" s="9"/>
      <c r="K6" s="9"/>
      <c r="L6" s="9"/>
      <c r="M6" s="9"/>
      <c r="N6" s="9"/>
      <c r="O6" s="9"/>
      <c r="P6" s="9"/>
      <c r="Q6" s="9"/>
      <c r="R6" s="9"/>
      <c r="S6" s="9"/>
      <c r="T6" s="9"/>
      <c r="U6" s="9"/>
      <c r="V6" s="9"/>
      <c r="W6" s="9"/>
      <c r="X6" s="10"/>
      <c r="Y6" s="8"/>
      <c r="Z6" s="9"/>
      <c r="AA6" s="9"/>
      <c r="AB6" s="9"/>
      <c r="AC6" s="9"/>
      <c r="AD6" s="9"/>
      <c r="AE6" s="9"/>
      <c r="AF6" s="9"/>
      <c r="AG6" s="9"/>
      <c r="AH6" s="9"/>
      <c r="AI6" s="9"/>
      <c r="AJ6" s="9"/>
      <c r="AK6" s="9"/>
      <c r="AL6" s="9"/>
      <c r="AM6" s="9"/>
      <c r="AN6" s="9"/>
      <c r="AO6" s="9"/>
      <c r="AP6" s="9"/>
      <c r="AQ6" s="9"/>
      <c r="AR6" s="9"/>
      <c r="AS6" s="9"/>
      <c r="AT6" s="9"/>
      <c r="AU6" s="9"/>
      <c r="AV6" s="9"/>
      <c r="AW6" s="9"/>
      <c r="AX6" s="10"/>
      <c r="AY6" s="5"/>
    </row>
    <row r="7" spans="1:51" ht="12.75">
      <c r="A7" s="4"/>
      <c r="B7" s="4"/>
      <c r="C7" s="11"/>
      <c r="D7" s="11"/>
      <c r="E7" s="11"/>
      <c r="F7" s="11"/>
      <c r="G7" s="11"/>
      <c r="H7" s="11"/>
      <c r="I7" s="11"/>
      <c r="J7" s="11"/>
      <c r="K7" s="11"/>
      <c r="L7" s="11"/>
      <c r="M7" s="11"/>
      <c r="N7" s="11"/>
      <c r="O7" s="11"/>
      <c r="P7" s="11"/>
      <c r="Q7" s="11"/>
      <c r="R7" s="11"/>
      <c r="S7" s="11"/>
      <c r="T7" s="11"/>
      <c r="U7" s="11"/>
      <c r="V7" s="11"/>
      <c r="W7" s="11"/>
      <c r="X7" s="5"/>
      <c r="Y7" s="4"/>
      <c r="Z7" s="11"/>
      <c r="AA7" s="11"/>
      <c r="AB7" s="11"/>
      <c r="AC7" s="11"/>
      <c r="AD7" s="11"/>
      <c r="AE7" s="11"/>
      <c r="AF7" s="11"/>
      <c r="AG7" s="11"/>
      <c r="AH7" s="11"/>
      <c r="AI7" s="11"/>
      <c r="AJ7" s="11"/>
      <c r="AK7" s="11"/>
      <c r="AL7" s="11"/>
      <c r="AM7" s="11"/>
      <c r="AN7" s="11"/>
      <c r="AO7" s="11"/>
      <c r="AP7" s="11"/>
      <c r="AQ7" s="11"/>
      <c r="AR7" s="11"/>
      <c r="AS7" s="11"/>
      <c r="AT7" s="11"/>
      <c r="AU7" s="11"/>
      <c r="AV7" s="11"/>
      <c r="AW7" s="11"/>
      <c r="AX7" s="5"/>
      <c r="AY7" s="5"/>
    </row>
    <row r="8" spans="1:51" ht="12.75">
      <c r="A8" s="4"/>
      <c r="B8" s="4"/>
      <c r="C8" s="11"/>
      <c r="D8" s="11"/>
      <c r="E8" s="11"/>
      <c r="F8" s="11"/>
      <c r="G8" s="11"/>
      <c r="H8" s="11"/>
      <c r="I8" s="11"/>
      <c r="J8" s="11"/>
      <c r="K8" s="11"/>
      <c r="L8" s="11"/>
      <c r="M8" s="11"/>
      <c r="N8" s="11"/>
      <c r="O8" s="11"/>
      <c r="P8" s="11"/>
      <c r="Q8" s="11"/>
      <c r="R8" s="11"/>
      <c r="S8" s="11"/>
      <c r="T8" s="11"/>
      <c r="U8" s="11"/>
      <c r="V8" s="11"/>
      <c r="W8" s="11"/>
      <c r="X8" s="5"/>
      <c r="Y8" s="4"/>
      <c r="Z8" s="11"/>
      <c r="AA8" s="11"/>
      <c r="AB8" s="11"/>
      <c r="AC8" s="11"/>
      <c r="AD8" s="11"/>
      <c r="AE8" s="11"/>
      <c r="AF8" s="11"/>
      <c r="AG8" s="11"/>
      <c r="AH8" s="11"/>
      <c r="AI8" s="11"/>
      <c r="AJ8" s="11"/>
      <c r="AK8" s="11"/>
      <c r="AL8" s="11"/>
      <c r="AM8" s="11"/>
      <c r="AN8" s="11"/>
      <c r="AO8" s="11"/>
      <c r="AP8" s="11"/>
      <c r="AQ8" s="11"/>
      <c r="AR8" s="11"/>
      <c r="AS8" s="11"/>
      <c r="AT8" s="11"/>
      <c r="AU8" s="11"/>
      <c r="AV8" s="11"/>
      <c r="AW8" s="11"/>
      <c r="AX8" s="5"/>
      <c r="AY8" s="5"/>
    </row>
    <row r="9" spans="1:51" ht="12.75">
      <c r="A9" s="4"/>
      <c r="B9" s="4"/>
      <c r="C9" s="11"/>
      <c r="D9" s="11"/>
      <c r="E9" s="11"/>
      <c r="F9" s="11"/>
      <c r="G9" s="11"/>
      <c r="H9" s="11"/>
      <c r="I9" s="11"/>
      <c r="J9" s="11"/>
      <c r="K9" s="11"/>
      <c r="L9" s="11"/>
      <c r="M9" s="11"/>
      <c r="N9" s="11"/>
      <c r="O9" s="11"/>
      <c r="P9" s="11"/>
      <c r="Q9" s="11"/>
      <c r="R9" s="11"/>
      <c r="S9" s="11"/>
      <c r="T9" s="11"/>
      <c r="U9" s="11"/>
      <c r="V9" s="11"/>
      <c r="W9" s="11"/>
      <c r="X9" s="5"/>
      <c r="Y9" s="4"/>
      <c r="Z9" s="11"/>
      <c r="AA9" s="11"/>
      <c r="AB9" s="11"/>
      <c r="AC9" s="11"/>
      <c r="AD9" s="11"/>
      <c r="AE9" s="11"/>
      <c r="AF9" s="11"/>
      <c r="AG9" s="11"/>
      <c r="AH9" s="11"/>
      <c r="AI9" s="11"/>
      <c r="AJ9" s="11"/>
      <c r="AK9" s="11"/>
      <c r="AL9" s="11"/>
      <c r="AM9" s="11"/>
      <c r="AN9" s="11"/>
      <c r="AO9" s="11"/>
      <c r="AP9" s="11"/>
      <c r="AQ9" s="11"/>
      <c r="AR9" s="11"/>
      <c r="AS9" s="11"/>
      <c r="AT9" s="11"/>
      <c r="AU9" s="11"/>
      <c r="AV9" s="11"/>
      <c r="AW9" s="11"/>
      <c r="AX9" s="5"/>
      <c r="AY9" s="5"/>
    </row>
    <row r="10" spans="1:51" ht="12.75">
      <c r="A10" s="4"/>
      <c r="B10" s="4"/>
      <c r="C10" s="11"/>
      <c r="D10" s="11"/>
      <c r="E10" s="11"/>
      <c r="F10" s="11"/>
      <c r="G10" s="11"/>
      <c r="H10" s="11"/>
      <c r="I10" s="11"/>
      <c r="J10" s="11"/>
      <c r="K10" s="11"/>
      <c r="L10" s="11"/>
      <c r="M10" s="11"/>
      <c r="N10" s="11"/>
      <c r="O10" s="11"/>
      <c r="P10" s="11"/>
      <c r="Q10" s="11"/>
      <c r="R10" s="11"/>
      <c r="S10" s="11"/>
      <c r="T10" s="11"/>
      <c r="U10" s="11"/>
      <c r="V10" s="11"/>
      <c r="W10" s="11"/>
      <c r="X10" s="5"/>
      <c r="Y10" s="4"/>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5"/>
      <c r="AY10" s="5"/>
    </row>
    <row r="11" spans="1:51" ht="12.75">
      <c r="A11" s="4"/>
      <c r="B11" s="4"/>
      <c r="C11" s="11"/>
      <c r="D11" s="11"/>
      <c r="E11" s="11"/>
      <c r="F11" s="11"/>
      <c r="G11" s="11"/>
      <c r="H11" s="11"/>
      <c r="I11" s="11"/>
      <c r="J11" s="11"/>
      <c r="K11" s="11"/>
      <c r="L11" s="11"/>
      <c r="M11" s="11"/>
      <c r="N11" s="11"/>
      <c r="O11" s="11"/>
      <c r="P11" s="11"/>
      <c r="Q11" s="11"/>
      <c r="R11" s="11"/>
      <c r="S11" s="11"/>
      <c r="T11" s="11"/>
      <c r="U11" s="11"/>
      <c r="V11" s="11"/>
      <c r="W11" s="11"/>
      <c r="X11" s="5"/>
      <c r="Y11" s="4"/>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5"/>
      <c r="AY11" s="5"/>
    </row>
    <row r="12" spans="1:51" ht="12.75">
      <c r="A12" s="4"/>
      <c r="B12" s="12"/>
      <c r="C12" s="13"/>
      <c r="D12" s="13"/>
      <c r="E12" s="13"/>
      <c r="F12" s="13"/>
      <c r="G12" s="13"/>
      <c r="H12" s="13"/>
      <c r="I12" s="13"/>
      <c r="J12" s="13"/>
      <c r="K12" s="13"/>
      <c r="L12" s="13"/>
      <c r="M12" s="13"/>
      <c r="N12" s="13"/>
      <c r="O12" s="13"/>
      <c r="P12" s="13"/>
      <c r="Q12" s="13"/>
      <c r="R12" s="13"/>
      <c r="S12" s="13"/>
      <c r="T12" s="13"/>
      <c r="U12" s="13"/>
      <c r="V12" s="13"/>
      <c r="W12" s="13"/>
      <c r="X12" s="14"/>
      <c r="Y12" s="12"/>
      <c r="Z12" s="13"/>
      <c r="AA12" s="13"/>
      <c r="AB12" s="13"/>
      <c r="AC12" s="13"/>
      <c r="AD12" s="13"/>
      <c r="AE12" s="13"/>
      <c r="AF12" s="13"/>
      <c r="AG12" s="13"/>
      <c r="AH12" s="13"/>
      <c r="AI12" s="13"/>
      <c r="AJ12" s="13"/>
      <c r="AK12" s="13"/>
      <c r="AL12" s="13"/>
      <c r="AM12" s="15"/>
      <c r="AN12" s="13"/>
      <c r="AO12" s="13"/>
      <c r="AP12" s="13"/>
      <c r="AQ12" s="13"/>
      <c r="AR12" s="13"/>
      <c r="AS12" s="13"/>
      <c r="AT12" s="13"/>
      <c r="AU12" s="13"/>
      <c r="AV12" s="13"/>
      <c r="AW12" s="13"/>
      <c r="AX12" s="14"/>
      <c r="AY12" s="5"/>
    </row>
    <row r="13" spans="1:51" ht="6" customHeight="1">
      <c r="A13" s="4"/>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6"/>
      <c r="AN13" s="11"/>
      <c r="AO13" s="11"/>
      <c r="AP13" s="11"/>
      <c r="AQ13" s="11"/>
      <c r="AR13" s="11"/>
      <c r="AS13" s="11"/>
      <c r="AT13" s="11"/>
      <c r="AU13" s="11"/>
      <c r="AV13" s="11"/>
      <c r="AW13" s="11"/>
      <c r="AX13" s="11"/>
      <c r="AY13" s="5"/>
    </row>
    <row r="14" spans="1:51" ht="34.5" customHeight="1">
      <c r="A14" s="4"/>
      <c r="B14" s="380" t="s">
        <v>6</v>
      </c>
      <c r="C14" s="380"/>
      <c r="D14" s="380"/>
      <c r="E14" s="380"/>
      <c r="F14" s="380"/>
      <c r="G14" s="380"/>
      <c r="H14" s="380"/>
      <c r="I14" s="380"/>
      <c r="J14" s="380"/>
      <c r="K14" s="380"/>
      <c r="L14" s="380"/>
      <c r="M14" s="380"/>
      <c r="N14" s="380"/>
      <c r="O14" s="380"/>
      <c r="P14" s="380"/>
      <c r="Q14" s="380"/>
      <c r="R14" s="380"/>
      <c r="S14" s="380"/>
      <c r="T14" s="380"/>
      <c r="U14" s="380"/>
      <c r="V14" s="380"/>
      <c r="W14" s="380"/>
      <c r="X14" s="380"/>
      <c r="Y14" s="381" t="s">
        <v>7</v>
      </c>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5"/>
    </row>
    <row r="15" spans="1:51" ht="12.75">
      <c r="A15" s="4"/>
      <c r="B15" s="4"/>
      <c r="C15" s="11"/>
      <c r="D15" s="11"/>
      <c r="E15" s="11"/>
      <c r="F15" s="11"/>
      <c r="G15" s="11"/>
      <c r="H15" s="11"/>
      <c r="I15" s="11"/>
      <c r="J15" s="11"/>
      <c r="K15" s="11"/>
      <c r="L15" s="11"/>
      <c r="M15" s="11"/>
      <c r="N15" s="11"/>
      <c r="O15" s="11"/>
      <c r="P15" s="11"/>
      <c r="Q15" s="11"/>
      <c r="R15" s="11"/>
      <c r="S15" s="11"/>
      <c r="T15" s="11"/>
      <c r="U15" s="11"/>
      <c r="V15" s="11"/>
      <c r="W15" s="11"/>
      <c r="X15" s="5"/>
      <c r="Y15" s="4"/>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5"/>
      <c r="AY15" s="5"/>
    </row>
    <row r="16" spans="1:51" ht="12.75">
      <c r="A16" s="4"/>
      <c r="B16" s="4"/>
      <c r="C16" s="11"/>
      <c r="D16" s="11"/>
      <c r="E16" s="11"/>
      <c r="F16" s="11"/>
      <c r="G16" s="11"/>
      <c r="H16" s="11"/>
      <c r="I16" s="11"/>
      <c r="J16" s="11"/>
      <c r="K16" s="11"/>
      <c r="L16" s="11"/>
      <c r="M16" s="11"/>
      <c r="N16" s="11"/>
      <c r="O16" s="11"/>
      <c r="P16" s="11"/>
      <c r="Q16" s="11"/>
      <c r="R16" s="11"/>
      <c r="S16" s="11"/>
      <c r="T16" s="11"/>
      <c r="U16" s="11"/>
      <c r="V16" s="11"/>
      <c r="W16" s="11"/>
      <c r="X16" s="5"/>
      <c r="Y16" s="4"/>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5"/>
      <c r="AY16" s="5"/>
    </row>
    <row r="17" spans="1:51" ht="12.75">
      <c r="A17" s="4"/>
      <c r="B17" s="4"/>
      <c r="C17" s="11"/>
      <c r="D17" s="11"/>
      <c r="E17" s="11"/>
      <c r="F17" s="11"/>
      <c r="G17" s="11"/>
      <c r="H17" s="11"/>
      <c r="I17" s="11"/>
      <c r="J17" s="11"/>
      <c r="K17" s="11"/>
      <c r="L17" s="11"/>
      <c r="M17" s="11"/>
      <c r="N17" s="11"/>
      <c r="O17" s="11"/>
      <c r="P17" s="11"/>
      <c r="Q17" s="11"/>
      <c r="R17" s="11"/>
      <c r="S17" s="11"/>
      <c r="T17" s="11"/>
      <c r="U17" s="11"/>
      <c r="V17" s="11"/>
      <c r="W17" s="11"/>
      <c r="X17" s="5"/>
      <c r="Y17" s="4"/>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5"/>
      <c r="AY17" s="5"/>
    </row>
    <row r="18" spans="1:51" ht="12.75">
      <c r="A18" s="4"/>
      <c r="B18" s="4"/>
      <c r="C18" s="11"/>
      <c r="D18" s="11"/>
      <c r="E18" s="11"/>
      <c r="F18" s="11"/>
      <c r="G18" s="11"/>
      <c r="H18" s="11"/>
      <c r="I18" s="11"/>
      <c r="J18" s="11"/>
      <c r="K18" s="11"/>
      <c r="L18" s="11"/>
      <c r="M18" s="11"/>
      <c r="N18" s="11"/>
      <c r="O18" s="11"/>
      <c r="P18" s="11"/>
      <c r="Q18" s="11"/>
      <c r="R18" s="11"/>
      <c r="S18" s="11"/>
      <c r="T18" s="11"/>
      <c r="U18" s="11"/>
      <c r="V18" s="11"/>
      <c r="W18" s="11"/>
      <c r="X18" s="5"/>
      <c r="Y18" s="4"/>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5"/>
      <c r="AY18" s="5"/>
    </row>
    <row r="19" spans="1:51" ht="12.75">
      <c r="A19" s="4"/>
      <c r="B19" s="4"/>
      <c r="C19" s="11"/>
      <c r="D19" s="11"/>
      <c r="E19" s="11"/>
      <c r="F19" s="11"/>
      <c r="G19" s="11"/>
      <c r="H19" s="11"/>
      <c r="I19" s="11"/>
      <c r="J19" s="11"/>
      <c r="K19" s="11"/>
      <c r="L19" s="11"/>
      <c r="M19" s="11"/>
      <c r="N19" s="11"/>
      <c r="O19" s="11"/>
      <c r="P19" s="11"/>
      <c r="Q19" s="11"/>
      <c r="R19" s="11"/>
      <c r="S19" s="11"/>
      <c r="T19" s="11"/>
      <c r="U19" s="11"/>
      <c r="V19" s="11"/>
      <c r="W19" s="11"/>
      <c r="X19" s="5"/>
      <c r="Y19" s="4"/>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5"/>
      <c r="AY19" s="5"/>
    </row>
    <row r="20" spans="1:51" ht="12.75">
      <c r="A20" s="4"/>
      <c r="B20" s="4"/>
      <c r="C20" s="11"/>
      <c r="D20" s="11"/>
      <c r="E20" s="11"/>
      <c r="F20" s="11"/>
      <c r="G20" s="11"/>
      <c r="H20" s="11"/>
      <c r="I20" s="11"/>
      <c r="J20" s="11"/>
      <c r="K20" s="11"/>
      <c r="L20" s="11"/>
      <c r="M20" s="11"/>
      <c r="N20" s="11"/>
      <c r="O20" s="11"/>
      <c r="P20" s="11"/>
      <c r="Q20" s="11"/>
      <c r="R20" s="11"/>
      <c r="S20" s="11"/>
      <c r="T20" s="11"/>
      <c r="U20" s="11"/>
      <c r="V20" s="11"/>
      <c r="W20" s="11"/>
      <c r="X20" s="5"/>
      <c r="Y20" s="4"/>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5"/>
      <c r="AY20" s="5"/>
    </row>
    <row r="21" spans="1:51" ht="12.75">
      <c r="A21" s="4"/>
      <c r="B21" s="4"/>
      <c r="C21" s="11"/>
      <c r="D21" s="11"/>
      <c r="E21" s="11"/>
      <c r="F21" s="11"/>
      <c r="G21" s="11"/>
      <c r="H21" s="11"/>
      <c r="I21" s="11"/>
      <c r="J21" s="11"/>
      <c r="K21" s="11"/>
      <c r="L21" s="11"/>
      <c r="M21" s="11"/>
      <c r="N21" s="11"/>
      <c r="O21" s="11"/>
      <c r="P21" s="11"/>
      <c r="Q21" s="11"/>
      <c r="R21" s="11"/>
      <c r="S21" s="11"/>
      <c r="T21" s="11"/>
      <c r="U21" s="11"/>
      <c r="V21" s="11"/>
      <c r="W21" s="11"/>
      <c r="X21" s="5"/>
      <c r="Y21" s="4"/>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5"/>
      <c r="AY21" s="5"/>
    </row>
    <row r="22" spans="1:51" ht="12.75">
      <c r="A22" s="4"/>
      <c r="B22" s="4"/>
      <c r="C22" s="11"/>
      <c r="D22" s="11"/>
      <c r="E22" s="11"/>
      <c r="F22" s="11"/>
      <c r="G22" s="11"/>
      <c r="H22" s="11"/>
      <c r="I22" s="11"/>
      <c r="J22" s="11"/>
      <c r="K22" s="11"/>
      <c r="L22" s="11"/>
      <c r="M22" s="11"/>
      <c r="N22" s="11"/>
      <c r="O22" s="11"/>
      <c r="P22" s="11"/>
      <c r="Q22" s="11"/>
      <c r="R22" s="11"/>
      <c r="S22" s="11"/>
      <c r="T22" s="11"/>
      <c r="U22" s="11"/>
      <c r="V22" s="11"/>
      <c r="W22" s="11"/>
      <c r="X22" s="5"/>
      <c r="Y22" s="4"/>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5"/>
      <c r="AY22" s="5"/>
    </row>
    <row r="23" spans="1:51" ht="12.75">
      <c r="A23" s="4"/>
      <c r="B23" s="4"/>
      <c r="C23" s="11"/>
      <c r="D23" s="11"/>
      <c r="E23" s="11"/>
      <c r="F23" s="11"/>
      <c r="G23" s="11"/>
      <c r="H23" s="11"/>
      <c r="I23" s="11"/>
      <c r="J23" s="11"/>
      <c r="K23" s="11"/>
      <c r="L23" s="11"/>
      <c r="M23" s="11"/>
      <c r="N23" s="11"/>
      <c r="O23" s="11"/>
      <c r="P23" s="11"/>
      <c r="Q23" s="11"/>
      <c r="R23" s="11"/>
      <c r="S23" s="11"/>
      <c r="T23" s="11"/>
      <c r="U23" s="11"/>
      <c r="V23" s="11"/>
      <c r="W23" s="11"/>
      <c r="X23" s="5"/>
      <c r="Y23" s="4"/>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5"/>
      <c r="AY23" s="5"/>
    </row>
    <row r="24" spans="1:51" ht="12.75">
      <c r="A24" s="4"/>
      <c r="B24" s="4"/>
      <c r="C24" s="11"/>
      <c r="D24" s="11"/>
      <c r="E24" s="11"/>
      <c r="F24" s="11"/>
      <c r="G24" s="11"/>
      <c r="H24" s="11"/>
      <c r="I24" s="11"/>
      <c r="J24" s="11"/>
      <c r="K24" s="11"/>
      <c r="L24" s="11"/>
      <c r="M24" s="11"/>
      <c r="N24" s="11"/>
      <c r="O24" s="11"/>
      <c r="P24" s="11"/>
      <c r="Q24" s="11"/>
      <c r="R24" s="11"/>
      <c r="S24" s="11"/>
      <c r="T24" s="11"/>
      <c r="U24" s="11"/>
      <c r="V24" s="11"/>
      <c r="W24" s="11"/>
      <c r="X24" s="5"/>
      <c r="Y24" s="4"/>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5"/>
      <c r="AY24" s="5"/>
    </row>
    <row r="25" spans="1:51" ht="12.75">
      <c r="A25" s="4"/>
      <c r="B25" s="4"/>
      <c r="C25" s="11"/>
      <c r="D25" s="11"/>
      <c r="E25" s="11"/>
      <c r="F25" s="11"/>
      <c r="G25" s="11"/>
      <c r="H25" s="11"/>
      <c r="I25" s="11"/>
      <c r="J25" s="11"/>
      <c r="K25" s="11"/>
      <c r="L25" s="11"/>
      <c r="M25" s="11"/>
      <c r="N25" s="11"/>
      <c r="O25" s="11"/>
      <c r="P25" s="11"/>
      <c r="Q25" s="11"/>
      <c r="R25" s="11"/>
      <c r="S25" s="11"/>
      <c r="T25" s="11"/>
      <c r="U25" s="11"/>
      <c r="V25" s="11"/>
      <c r="W25" s="11"/>
      <c r="X25" s="5"/>
      <c r="Y25" s="4"/>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5"/>
      <c r="AY25" s="5"/>
    </row>
    <row r="26" spans="1:51" ht="12.75" customHeight="1">
      <c r="A26" s="4"/>
      <c r="B26" s="12"/>
      <c r="C26" s="13"/>
      <c r="D26" s="13"/>
      <c r="E26" s="13"/>
      <c r="F26" s="13"/>
      <c r="G26" s="13"/>
      <c r="H26" s="13"/>
      <c r="I26" s="13"/>
      <c r="J26" s="13"/>
      <c r="K26" s="13"/>
      <c r="L26" s="13"/>
      <c r="M26" s="13"/>
      <c r="N26" s="13"/>
      <c r="O26" s="13"/>
      <c r="P26" s="13"/>
      <c r="Q26" s="13"/>
      <c r="R26" s="13"/>
      <c r="S26" s="13"/>
      <c r="T26" s="13"/>
      <c r="U26" s="13"/>
      <c r="V26" s="13"/>
      <c r="W26" s="13"/>
      <c r="X26" s="14"/>
      <c r="Y26" s="12"/>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4"/>
      <c r="AY26" s="5"/>
    </row>
    <row r="27" spans="1:51" ht="6" customHeight="1">
      <c r="A27" s="4"/>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5"/>
    </row>
    <row r="28" spans="1:51" ht="12.75" customHeight="1">
      <c r="A28" s="4"/>
      <c r="B28" s="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3"/>
      <c r="AY28" s="5"/>
    </row>
    <row r="29" spans="1:51" ht="12.75" customHeight="1">
      <c r="A29" s="4"/>
      <c r="B29" s="4"/>
      <c r="C29" s="11"/>
      <c r="D29" s="11"/>
      <c r="E29" s="11"/>
      <c r="F29" s="11"/>
      <c r="G29" s="11"/>
      <c r="H29" s="11"/>
      <c r="I29" s="11"/>
      <c r="J29" s="11"/>
      <c r="K29" s="11"/>
      <c r="L29" s="11"/>
      <c r="M29" s="11"/>
      <c r="N29" s="11"/>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1"/>
      <c r="AR29" s="11"/>
      <c r="AS29" s="11"/>
      <c r="AT29" s="11"/>
      <c r="AU29" s="11"/>
      <c r="AV29" s="11"/>
      <c r="AW29" s="11"/>
      <c r="AX29" s="5"/>
      <c r="AY29" s="5"/>
    </row>
    <row r="30" spans="1:51" ht="12.75" customHeight="1">
      <c r="A30" s="4"/>
      <c r="B30" s="4"/>
      <c r="C30" s="11"/>
      <c r="D30" s="11"/>
      <c r="E30" s="11"/>
      <c r="F30" s="11"/>
      <c r="G30" s="11"/>
      <c r="H30" s="11"/>
      <c r="I30" s="11"/>
      <c r="J30" s="11"/>
      <c r="K30" s="11"/>
      <c r="L30" s="11"/>
      <c r="M30" s="11"/>
      <c r="N30" s="11"/>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1"/>
      <c r="AR30" s="11"/>
      <c r="AS30" s="11"/>
      <c r="AT30" s="11"/>
      <c r="AU30" s="11"/>
      <c r="AV30" s="11"/>
      <c r="AW30" s="11"/>
      <c r="AX30" s="5"/>
      <c r="AY30" s="5"/>
    </row>
    <row r="31" spans="1:51" ht="12.75" customHeight="1">
      <c r="A31" s="4"/>
      <c r="B31" s="4"/>
      <c r="C31" s="11"/>
      <c r="D31" s="11"/>
      <c r="E31" s="11"/>
      <c r="F31" s="11"/>
      <c r="G31" s="11"/>
      <c r="H31" s="11"/>
      <c r="I31" s="11"/>
      <c r="J31" s="11"/>
      <c r="K31" s="11"/>
      <c r="L31" s="11"/>
      <c r="M31" s="11"/>
      <c r="N31" s="11"/>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1"/>
      <c r="AR31" s="11"/>
      <c r="AS31" s="11"/>
      <c r="AT31" s="11"/>
      <c r="AU31" s="11"/>
      <c r="AV31" s="11"/>
      <c r="AW31" s="11"/>
      <c r="AX31" s="5"/>
      <c r="AY31" s="5"/>
    </row>
    <row r="32" spans="1:51" ht="10.5" customHeight="1">
      <c r="A32" s="4"/>
      <c r="B32" s="4"/>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5"/>
      <c r="AY32" s="5"/>
    </row>
    <row r="33" spans="1:51" ht="24">
      <c r="A33" s="4"/>
      <c r="B33" s="4"/>
      <c r="C33" s="11"/>
      <c r="D33" s="11"/>
      <c r="E33" s="11"/>
      <c r="F33" s="11"/>
      <c r="G33" s="11"/>
      <c r="H33" s="11"/>
      <c r="I33" s="11"/>
      <c r="J33" s="11"/>
      <c r="K33" s="11"/>
      <c r="L33" s="11"/>
      <c r="M33" s="11"/>
      <c r="N33" s="11"/>
      <c r="O33" s="18"/>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1"/>
      <c r="AR33" s="11"/>
      <c r="AS33" s="11"/>
      <c r="AT33" s="11"/>
      <c r="AU33" s="11"/>
      <c r="AV33" s="11"/>
      <c r="AW33" s="11"/>
      <c r="AX33" s="5"/>
      <c r="AY33" s="5"/>
    </row>
    <row r="34" spans="1:51" ht="24">
      <c r="A34" s="4"/>
      <c r="B34" s="4"/>
      <c r="C34" s="11"/>
      <c r="D34" s="11"/>
      <c r="E34" s="11"/>
      <c r="F34" s="11"/>
      <c r="G34" s="11"/>
      <c r="H34" s="11"/>
      <c r="I34" s="11"/>
      <c r="J34" s="11"/>
      <c r="K34" s="11"/>
      <c r="M34" s="11"/>
      <c r="N34" s="11"/>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1"/>
      <c r="AR34" s="11"/>
      <c r="AS34" s="11"/>
      <c r="AT34" s="11"/>
      <c r="AU34" s="11"/>
      <c r="AV34" s="11"/>
      <c r="AW34" s="11"/>
      <c r="AX34" s="5"/>
      <c r="AY34" s="5"/>
    </row>
    <row r="35" spans="1:51" ht="14.25">
      <c r="A35" s="4"/>
      <c r="B35" s="4"/>
      <c r="C35" s="11"/>
      <c r="D35" s="11"/>
      <c r="E35" s="11"/>
      <c r="F35" s="11"/>
      <c r="G35" s="11"/>
      <c r="H35" s="20"/>
      <c r="I35" s="11"/>
      <c r="J35" s="11"/>
      <c r="K35" s="11"/>
      <c r="L35" s="11"/>
      <c r="M35" s="11"/>
      <c r="N35" s="11"/>
      <c r="O35" s="11"/>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11"/>
      <c r="AQ35" s="11"/>
      <c r="AR35" s="11"/>
      <c r="AS35" s="11"/>
      <c r="AT35" s="11"/>
      <c r="AU35" s="11"/>
      <c r="AV35" s="11"/>
      <c r="AW35" s="11"/>
      <c r="AX35" s="5"/>
      <c r="AY35" s="5"/>
    </row>
    <row r="36" spans="1:51" ht="14.25">
      <c r="A36" s="4"/>
      <c r="B36" s="4"/>
      <c r="C36" s="11"/>
      <c r="D36" s="11"/>
      <c r="E36" s="11"/>
      <c r="F36" s="11"/>
      <c r="G36" s="11"/>
      <c r="H36" s="11"/>
      <c r="I36" s="11"/>
      <c r="J36" s="11"/>
      <c r="K36" s="11"/>
      <c r="L36" s="11"/>
      <c r="M36" s="11"/>
      <c r="N36" s="11"/>
      <c r="O36" s="1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11"/>
      <c r="AQ36" s="11"/>
      <c r="AR36" s="11"/>
      <c r="AS36" s="11"/>
      <c r="AT36" s="11"/>
      <c r="AU36" s="11"/>
      <c r="AV36" s="11"/>
      <c r="AW36" s="11"/>
      <c r="AX36" s="5"/>
      <c r="AY36" s="5"/>
    </row>
    <row r="37" spans="1:51" ht="14.25">
      <c r="A37" s="4"/>
      <c r="B37" s="4"/>
      <c r="C37" s="11"/>
      <c r="D37" s="11"/>
      <c r="E37" s="11"/>
      <c r="F37" s="11"/>
      <c r="G37" s="11"/>
      <c r="H37" s="11"/>
      <c r="I37" s="11"/>
      <c r="J37" s="11"/>
      <c r="K37" s="11"/>
      <c r="L37" s="11"/>
      <c r="M37" s="11"/>
      <c r="N37" s="11"/>
      <c r="O37" s="11"/>
      <c r="P37" s="21"/>
      <c r="Q37" s="21"/>
      <c r="R37" s="21"/>
      <c r="S37" s="21"/>
      <c r="T37" s="21"/>
      <c r="U37" s="21"/>
      <c r="V37" s="21"/>
      <c r="W37" s="21"/>
      <c r="X37" s="21"/>
      <c r="Y37" s="21"/>
      <c r="Z37" s="21"/>
      <c r="AA37" s="21"/>
      <c r="AB37" s="21"/>
      <c r="AC37" s="21"/>
      <c r="AD37" s="21"/>
      <c r="AE37" s="21"/>
      <c r="AF37" s="11"/>
      <c r="AG37" s="11"/>
      <c r="AH37" s="11"/>
      <c r="AI37" s="11"/>
      <c r="AJ37" s="11"/>
      <c r="AK37" s="11"/>
      <c r="AL37" s="11"/>
      <c r="AM37" s="11"/>
      <c r="AN37" s="11"/>
      <c r="AO37" s="11"/>
      <c r="AP37" s="11"/>
      <c r="AQ37" s="11"/>
      <c r="AR37" s="11"/>
      <c r="AS37" s="11"/>
      <c r="AT37" s="11"/>
      <c r="AU37" s="11"/>
      <c r="AV37" s="11"/>
      <c r="AW37" s="11"/>
      <c r="AX37" s="5"/>
      <c r="AY37" s="5"/>
    </row>
    <row r="38" spans="1:51" ht="12.75">
      <c r="A38" s="4"/>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c r="AY38" s="5"/>
    </row>
    <row r="39" spans="1:51" ht="6" customHeight="1">
      <c r="A39" s="4"/>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5"/>
    </row>
    <row r="40" spans="1:51" ht="15" customHeight="1">
      <c r="A40" s="4"/>
      <c r="B40" s="382" t="s">
        <v>8</v>
      </c>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5"/>
    </row>
    <row r="41" spans="1:51" ht="12.75">
      <c r="A41" s="4"/>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5"/>
    </row>
    <row r="42" spans="1:51" ht="6.75" customHeight="1">
      <c r="A42" s="4"/>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4"/>
      <c r="AY42" s="5"/>
    </row>
    <row r="43" spans="1:51" ht="6" customHeight="1">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5"/>
    </row>
    <row r="44" spans="1:51" ht="18.75" customHeight="1">
      <c r="A44" s="4"/>
      <c r="B44" s="383" t="s">
        <v>9</v>
      </c>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5"/>
    </row>
    <row r="45" spans="1:51" ht="19.5" customHeight="1">
      <c r="A45" s="4"/>
      <c r="B45" s="376" t="s">
        <v>10</v>
      </c>
      <c r="C45" s="376"/>
      <c r="D45" s="376"/>
      <c r="E45" s="376"/>
      <c r="F45" s="376"/>
      <c r="G45" s="377" t="s">
        <v>11</v>
      </c>
      <c r="H45" s="377"/>
      <c r="I45" s="377"/>
      <c r="J45" s="377"/>
      <c r="K45" s="377"/>
      <c r="L45" s="377" t="s">
        <v>12</v>
      </c>
      <c r="M45" s="377"/>
      <c r="N45" s="377"/>
      <c r="O45" s="377"/>
      <c r="P45" s="377"/>
      <c r="Q45" s="377"/>
      <c r="R45" s="377"/>
      <c r="S45" s="377"/>
      <c r="T45" s="377"/>
      <c r="U45" s="377" t="s">
        <v>13</v>
      </c>
      <c r="V45" s="377"/>
      <c r="W45" s="377"/>
      <c r="X45" s="377"/>
      <c r="Y45" s="377"/>
      <c r="Z45" s="377"/>
      <c r="AA45" s="377"/>
      <c r="AB45" s="377"/>
      <c r="AC45" s="377"/>
      <c r="AD45" s="377"/>
      <c r="AE45" s="377" t="s">
        <v>14</v>
      </c>
      <c r="AF45" s="377"/>
      <c r="AG45" s="377"/>
      <c r="AH45" s="377"/>
      <c r="AI45" s="377" t="s">
        <v>15</v>
      </c>
      <c r="AJ45" s="377"/>
      <c r="AK45" s="377"/>
      <c r="AL45" s="377"/>
      <c r="AM45" s="377"/>
      <c r="AN45" s="377" t="s">
        <v>16</v>
      </c>
      <c r="AO45" s="377"/>
      <c r="AP45" s="377"/>
      <c r="AQ45" s="377"/>
      <c r="AR45" s="378" t="s">
        <v>17</v>
      </c>
      <c r="AS45" s="378"/>
      <c r="AT45" s="378"/>
      <c r="AU45" s="378"/>
      <c r="AV45" s="378"/>
      <c r="AW45" s="378"/>
      <c r="AX45" s="378"/>
      <c r="AY45" s="5"/>
    </row>
    <row r="46" spans="1:51" ht="19.5" customHeight="1">
      <c r="A46" s="4"/>
      <c r="B46" s="384">
        <f>SÖZLEŞME!B17</f>
        <v>0</v>
      </c>
      <c r="C46" s="384"/>
      <c r="D46" s="384"/>
      <c r="E46" s="384"/>
      <c r="F46" s="384"/>
      <c r="G46" s="385">
        <f>SÖZLEŞME!G17</f>
        <v>0</v>
      </c>
      <c r="H46" s="385"/>
      <c r="I46" s="385"/>
      <c r="J46" s="385"/>
      <c r="K46" s="385"/>
      <c r="L46" s="385">
        <f>SÖZLEŞME!K17</f>
        <v>0</v>
      </c>
      <c r="M46" s="385"/>
      <c r="N46" s="385"/>
      <c r="O46" s="385"/>
      <c r="P46" s="385"/>
      <c r="Q46" s="385"/>
      <c r="R46" s="385"/>
      <c r="S46" s="385"/>
      <c r="T46" s="385"/>
      <c r="U46" s="385">
        <f>SÖZLEŞME!R17</f>
        <v>0</v>
      </c>
      <c r="V46" s="385"/>
      <c r="W46" s="385"/>
      <c r="X46" s="385"/>
      <c r="Y46" s="385"/>
      <c r="Z46" s="385"/>
      <c r="AA46" s="385"/>
      <c r="AB46" s="385"/>
      <c r="AC46" s="385"/>
      <c r="AD46" s="385"/>
      <c r="AE46" s="386">
        <f>SÖZLEŞME!AA17</f>
        <v>0</v>
      </c>
      <c r="AF46" s="386"/>
      <c r="AG46" s="386"/>
      <c r="AH46" s="386"/>
      <c r="AI46" s="385">
        <f>SÖZLEŞME!AF17</f>
        <v>0</v>
      </c>
      <c r="AJ46" s="385"/>
      <c r="AK46" s="385"/>
      <c r="AL46" s="385"/>
      <c r="AM46" s="385"/>
      <c r="AN46" s="386">
        <f>SÖZLEŞME!AJ17</f>
        <v>0</v>
      </c>
      <c r="AO46" s="386"/>
      <c r="AP46" s="386"/>
      <c r="AQ46" s="386"/>
      <c r="AR46" s="378"/>
      <c r="AS46" s="378"/>
      <c r="AT46" s="378"/>
      <c r="AU46" s="378"/>
      <c r="AV46" s="378"/>
      <c r="AW46" s="378"/>
      <c r="AX46" s="378"/>
      <c r="AY46" s="5"/>
    </row>
    <row r="47" spans="1:51" ht="20.25">
      <c r="A47" s="4"/>
      <c r="B47" s="387" t="s">
        <v>18</v>
      </c>
      <c r="C47" s="387"/>
      <c r="D47" s="387"/>
      <c r="E47" s="387"/>
      <c r="F47" s="387"/>
      <c r="G47" s="387"/>
      <c r="H47" s="387"/>
      <c r="I47" s="387"/>
      <c r="J47" s="387"/>
      <c r="K47" s="387"/>
      <c r="L47" s="388">
        <f>SÖZLEŞME!Y7</f>
        <v>0</v>
      </c>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9" t="s">
        <v>19</v>
      </c>
      <c r="AS47" s="389"/>
      <c r="AT47" s="389"/>
      <c r="AU47" s="389"/>
      <c r="AV47" s="389"/>
      <c r="AW47" s="389"/>
      <c r="AX47" s="389"/>
      <c r="AY47" s="5"/>
    </row>
    <row r="48" spans="1:51" ht="17.25" customHeight="1">
      <c r="A48" s="4"/>
      <c r="B48" s="390" t="s">
        <v>20</v>
      </c>
      <c r="C48" s="390"/>
      <c r="D48" s="390"/>
      <c r="E48" s="390"/>
      <c r="F48" s="390"/>
      <c r="G48" s="390"/>
      <c r="H48" s="390"/>
      <c r="I48" s="390"/>
      <c r="J48" s="390"/>
      <c r="K48" s="390"/>
      <c r="L48" s="391">
        <f>SÖZLEŞME!Y8</f>
        <v>0</v>
      </c>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2"/>
      <c r="AS48" s="392"/>
      <c r="AT48" s="392"/>
      <c r="AU48" s="392"/>
      <c r="AV48" s="392"/>
      <c r="AW48" s="392"/>
      <c r="AX48" s="392"/>
      <c r="AY48" s="5"/>
    </row>
    <row r="49" spans="1:51" ht="6" customHeight="1">
      <c r="A49" s="4"/>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5"/>
    </row>
    <row r="50" spans="1:51" ht="15">
      <c r="A50" s="4"/>
      <c r="B50" s="393" t="s">
        <v>21</v>
      </c>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5"/>
    </row>
    <row r="51" spans="1:51" ht="45" customHeight="1">
      <c r="A51" s="4"/>
      <c r="B51" s="394" t="s">
        <v>22</v>
      </c>
      <c r="C51" s="394"/>
      <c r="D51" s="394"/>
      <c r="E51" s="394"/>
      <c r="F51" s="394"/>
      <c r="G51" s="395" t="s">
        <v>23</v>
      </c>
      <c r="H51" s="395"/>
      <c r="I51" s="395"/>
      <c r="J51" s="395"/>
      <c r="K51" s="395"/>
      <c r="L51" s="395" t="s">
        <v>24</v>
      </c>
      <c r="M51" s="395"/>
      <c r="N51" s="395"/>
      <c r="O51" s="395"/>
      <c r="P51" s="395"/>
      <c r="Q51" s="395"/>
      <c r="R51" s="395"/>
      <c r="S51" s="395"/>
      <c r="T51" s="395"/>
      <c r="U51" s="395" t="s">
        <v>25</v>
      </c>
      <c r="V51" s="395"/>
      <c r="W51" s="395"/>
      <c r="X51" s="395"/>
      <c r="Y51" s="395"/>
      <c r="Z51" s="395"/>
      <c r="AA51" s="395"/>
      <c r="AB51" s="395"/>
      <c r="AC51" s="395"/>
      <c r="AD51" s="395" t="s">
        <v>26</v>
      </c>
      <c r="AE51" s="395"/>
      <c r="AF51" s="395"/>
      <c r="AG51" s="395"/>
      <c r="AH51" s="395"/>
      <c r="AI51" s="395" t="s">
        <v>27</v>
      </c>
      <c r="AJ51" s="395"/>
      <c r="AK51" s="395"/>
      <c r="AL51" s="395"/>
      <c r="AM51" s="395"/>
      <c r="AN51" s="395" t="s">
        <v>28</v>
      </c>
      <c r="AO51" s="395"/>
      <c r="AP51" s="395"/>
      <c r="AQ51" s="395"/>
      <c r="AR51" s="396" t="s">
        <v>29</v>
      </c>
      <c r="AS51" s="396"/>
      <c r="AT51" s="396"/>
      <c r="AU51" s="396"/>
      <c r="AV51" s="396"/>
      <c r="AW51" s="396"/>
      <c r="AX51" s="396"/>
      <c r="AY51" s="5"/>
    </row>
    <row r="52" spans="1:51" ht="6.75" customHeight="1">
      <c r="A52" s="4"/>
      <c r="B52" s="397"/>
      <c r="C52" s="397"/>
      <c r="D52" s="397"/>
      <c r="E52" s="397"/>
      <c r="F52" s="397"/>
      <c r="G52" s="398">
        <f>'ASGARİ ÜCRET FORMU'!F22</f>
        <v>2</v>
      </c>
      <c r="H52" s="398"/>
      <c r="I52" s="398"/>
      <c r="J52" s="398"/>
      <c r="K52" s="398"/>
      <c r="L52" s="399">
        <f>'ASGARİ ÜCRET FORMU'!C28</f>
        <v>245</v>
      </c>
      <c r="M52" s="399"/>
      <c r="N52" s="399"/>
      <c r="O52" s="399"/>
      <c r="P52" s="399"/>
      <c r="Q52" s="399"/>
      <c r="R52" s="399"/>
      <c r="S52" s="399"/>
      <c r="T52" s="399"/>
      <c r="U52" s="398">
        <f>SÖZLEŞME!G27</f>
        <v>0</v>
      </c>
      <c r="V52" s="398"/>
      <c r="W52" s="398"/>
      <c r="X52" s="398"/>
      <c r="Y52" s="398"/>
      <c r="Z52" s="398"/>
      <c r="AA52" s="398"/>
      <c r="AB52" s="398"/>
      <c r="AC52" s="398"/>
      <c r="AD52" s="398">
        <f>SÖZLEŞME!K27</f>
        <v>2</v>
      </c>
      <c r="AE52" s="398"/>
      <c r="AF52" s="398"/>
      <c r="AG52" s="398"/>
      <c r="AH52" s="398"/>
      <c r="AI52" s="398">
        <f>SÖZLEŞME!N27</f>
        <v>250</v>
      </c>
      <c r="AJ52" s="398"/>
      <c r="AK52" s="398"/>
      <c r="AL52" s="398"/>
      <c r="AM52" s="398"/>
      <c r="AN52" s="398">
        <f>SÖZLEŞME!AD27</f>
        <v>9</v>
      </c>
      <c r="AO52" s="398"/>
      <c r="AP52" s="398"/>
      <c r="AQ52" s="398"/>
      <c r="AR52" s="400" t="str">
        <f>SÖZLEŞME!B27</f>
        <v>Konut </v>
      </c>
      <c r="AS52" s="400"/>
      <c r="AT52" s="400"/>
      <c r="AU52" s="400"/>
      <c r="AV52" s="400"/>
      <c r="AW52" s="400"/>
      <c r="AX52" s="400"/>
      <c r="AY52" s="5"/>
    </row>
    <row r="53" spans="1:51" ht="12.75">
      <c r="A53" s="4"/>
      <c r="B53" s="397"/>
      <c r="C53" s="397"/>
      <c r="D53" s="397"/>
      <c r="E53" s="397"/>
      <c r="F53" s="397"/>
      <c r="G53" s="398"/>
      <c r="H53" s="398"/>
      <c r="I53" s="398"/>
      <c r="J53" s="398"/>
      <c r="K53" s="398"/>
      <c r="L53" s="399"/>
      <c r="M53" s="399"/>
      <c r="N53" s="399"/>
      <c r="O53" s="399"/>
      <c r="P53" s="399"/>
      <c r="Q53" s="399"/>
      <c r="R53" s="399"/>
      <c r="S53" s="399"/>
      <c r="T53" s="399"/>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400"/>
      <c r="AS53" s="400"/>
      <c r="AT53" s="400"/>
      <c r="AU53" s="400"/>
      <c r="AV53" s="400"/>
      <c r="AW53" s="400"/>
      <c r="AX53" s="400"/>
      <c r="AY53" s="5"/>
    </row>
    <row r="54" spans="1:51" ht="6.75" customHeight="1">
      <c r="A54" s="4"/>
      <c r="B54" s="397"/>
      <c r="C54" s="397"/>
      <c r="D54" s="397"/>
      <c r="E54" s="397"/>
      <c r="F54" s="397"/>
      <c r="G54" s="398"/>
      <c r="H54" s="398"/>
      <c r="I54" s="398"/>
      <c r="J54" s="398"/>
      <c r="K54" s="398"/>
      <c r="L54" s="399"/>
      <c r="M54" s="399"/>
      <c r="N54" s="399"/>
      <c r="O54" s="399"/>
      <c r="P54" s="399"/>
      <c r="Q54" s="399"/>
      <c r="R54" s="399"/>
      <c r="S54" s="399"/>
      <c r="T54" s="399"/>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400"/>
      <c r="AS54" s="400"/>
      <c r="AT54" s="400"/>
      <c r="AU54" s="400"/>
      <c r="AV54" s="400"/>
      <c r="AW54" s="400"/>
      <c r="AX54" s="400"/>
      <c r="AY54" s="5"/>
    </row>
    <row r="55" spans="1:51" ht="7.5" customHeight="1">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4"/>
    </row>
    <row r="56" ht="6.75" customHeight="1"/>
  </sheetData>
  <mergeCells count="61">
    <mergeCell ref="AD52:AH54"/>
    <mergeCell ref="AI52:AM54"/>
    <mergeCell ref="AN52:AQ54"/>
    <mergeCell ref="AR52:AX54"/>
    <mergeCell ref="B52:F54"/>
    <mergeCell ref="G52:K54"/>
    <mergeCell ref="L52:T54"/>
    <mergeCell ref="U52:AC54"/>
    <mergeCell ref="B50:AX50"/>
    <mergeCell ref="B51:F51"/>
    <mergeCell ref="G51:K51"/>
    <mergeCell ref="L51:T51"/>
    <mergeCell ref="U51:AC51"/>
    <mergeCell ref="AD51:AH51"/>
    <mergeCell ref="AI51:AM51"/>
    <mergeCell ref="AN51:AQ51"/>
    <mergeCell ref="AR51:AX51"/>
    <mergeCell ref="B47:K47"/>
    <mergeCell ref="L47:AQ47"/>
    <mergeCell ref="AR47:AX47"/>
    <mergeCell ref="B48:K48"/>
    <mergeCell ref="L48:AQ48"/>
    <mergeCell ref="AR48:AX48"/>
    <mergeCell ref="AE46:AH46"/>
    <mergeCell ref="AI46:AM46"/>
    <mergeCell ref="AN46:AQ46"/>
    <mergeCell ref="AR46:AX46"/>
    <mergeCell ref="B46:F46"/>
    <mergeCell ref="G46:K46"/>
    <mergeCell ref="L46:T46"/>
    <mergeCell ref="U46:AD46"/>
    <mergeCell ref="B44:AX44"/>
    <mergeCell ref="B45:F45"/>
    <mergeCell ref="G45:K45"/>
    <mergeCell ref="L45:T45"/>
    <mergeCell ref="U45:AD45"/>
    <mergeCell ref="AE45:AH45"/>
    <mergeCell ref="AI45:AM45"/>
    <mergeCell ref="AN45:AQ45"/>
    <mergeCell ref="AR45:AX45"/>
    <mergeCell ref="AU5:AX5"/>
    <mergeCell ref="B14:X14"/>
    <mergeCell ref="Y14:AX14"/>
    <mergeCell ref="B40:AX41"/>
    <mergeCell ref="Y5:AG5"/>
    <mergeCell ref="AH5:AL5"/>
    <mergeCell ref="AM5:AQ5"/>
    <mergeCell ref="AR5:AT5"/>
    <mergeCell ref="B5:J5"/>
    <mergeCell ref="K5:O5"/>
    <mergeCell ref="P5:T5"/>
    <mergeCell ref="U5:X5"/>
    <mergeCell ref="B3:X3"/>
    <mergeCell ref="Y3:AX3"/>
    <mergeCell ref="B4:J4"/>
    <mergeCell ref="K4:O4"/>
    <mergeCell ref="P4:X4"/>
    <mergeCell ref="Y4:AG4"/>
    <mergeCell ref="AH4:AL4"/>
    <mergeCell ref="AM4:AT4"/>
    <mergeCell ref="AU4:AX4"/>
  </mergeCells>
  <printOptions/>
  <pageMargins left="0.2701388888888889" right="0.25" top="0.4902777777777778" bottom="0.5097222222222222" header="0.5118055555555556" footer="0.5118055555555556"/>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3:IV77"/>
  <sheetViews>
    <sheetView showZeros="0" workbookViewId="0" topLeftCell="A19">
      <selection activeCell="L29" sqref="L29"/>
    </sheetView>
  </sheetViews>
  <sheetFormatPr defaultColWidth="9.140625" defaultRowHeight="12.75"/>
  <cols>
    <col min="1" max="1" width="0.85546875" style="282" customWidth="1"/>
    <col min="2" max="3" width="1.28515625" style="282" customWidth="1"/>
    <col min="4" max="4" width="1.1484375" style="282" customWidth="1"/>
    <col min="5" max="5" width="2.421875" style="282" customWidth="1"/>
    <col min="6" max="6" width="6.140625" style="282" customWidth="1"/>
    <col min="7" max="7" width="5.57421875" style="282" customWidth="1"/>
    <col min="8" max="8" width="6.140625" style="282" customWidth="1"/>
    <col min="9" max="9" width="8.8515625" style="282" customWidth="1"/>
    <col min="10" max="10" width="13.28125" style="282" customWidth="1"/>
    <col min="11" max="11" width="5.140625" style="282" customWidth="1"/>
    <col min="12" max="12" width="6.421875" style="282" customWidth="1"/>
    <col min="13" max="13" width="6.28125" style="282" customWidth="1"/>
    <col min="14" max="14" width="6.57421875" style="282" customWidth="1"/>
    <col min="15" max="15" width="14.00390625" style="282" customWidth="1"/>
    <col min="16" max="16" width="13.421875" style="282" customWidth="1"/>
    <col min="17" max="17" width="6.140625" style="282" customWidth="1"/>
    <col min="18" max="18" width="6.57421875" style="282" customWidth="1"/>
    <col min="19" max="19" width="6.8515625" style="282" customWidth="1"/>
    <col min="20" max="20" width="7.57421875" style="282" customWidth="1"/>
    <col min="21" max="21" width="2.7109375" style="282" customWidth="1"/>
    <col min="22" max="22" width="1.28515625" style="282" customWidth="1"/>
    <col min="23" max="16384" width="6.140625" style="282" customWidth="1"/>
  </cols>
  <sheetData>
    <row r="1" ht="8.25" customHeight="1"/>
    <row r="2" ht="4.5" customHeight="1"/>
    <row r="3" spans="2:22" ht="7.5" customHeight="1">
      <c r="B3" s="283"/>
      <c r="C3" s="284"/>
      <c r="D3" s="284"/>
      <c r="E3" s="284"/>
      <c r="F3" s="284"/>
      <c r="G3" s="284"/>
      <c r="H3" s="284"/>
      <c r="I3" s="284"/>
      <c r="J3" s="284"/>
      <c r="K3" s="284"/>
      <c r="L3" s="284"/>
      <c r="M3" s="284"/>
      <c r="N3" s="284"/>
      <c r="O3" s="284"/>
      <c r="P3" s="284"/>
      <c r="Q3" s="284"/>
      <c r="R3" s="284"/>
      <c r="S3" s="284"/>
      <c r="T3" s="284"/>
      <c r="U3" s="284"/>
      <c r="V3" s="285"/>
    </row>
    <row r="4" spans="2:22" ht="12.75">
      <c r="B4" s="286"/>
      <c r="C4" s="287"/>
      <c r="D4" s="288"/>
      <c r="E4" s="288"/>
      <c r="F4" s="288"/>
      <c r="G4" s="288"/>
      <c r="H4" s="288"/>
      <c r="I4" s="288"/>
      <c r="J4" s="288"/>
      <c r="K4" s="288"/>
      <c r="L4" s="288"/>
      <c r="M4" s="288"/>
      <c r="N4" s="288"/>
      <c r="O4" s="288"/>
      <c r="P4" s="288"/>
      <c r="Q4" s="288"/>
      <c r="R4" s="288"/>
      <c r="S4" s="288"/>
      <c r="T4" s="288"/>
      <c r="U4" s="289"/>
      <c r="V4" s="290"/>
    </row>
    <row r="5" spans="2:22" ht="15" customHeight="1">
      <c r="B5" s="286"/>
      <c r="C5" s="291"/>
      <c r="D5" s="292"/>
      <c r="E5" s="292"/>
      <c r="F5" s="292"/>
      <c r="G5" s="292"/>
      <c r="H5" s="292"/>
      <c r="I5" s="292"/>
      <c r="J5" s="292"/>
      <c r="K5" s="292"/>
      <c r="L5" s="293"/>
      <c r="M5" s="292"/>
      <c r="N5" s="292"/>
      <c r="O5" s="292"/>
      <c r="P5" s="292"/>
      <c r="Q5" s="292"/>
      <c r="R5" s="292"/>
      <c r="S5" s="292"/>
      <c r="T5" s="292"/>
      <c r="U5" s="294"/>
      <c r="V5" s="290"/>
    </row>
    <row r="6" spans="2:22" ht="15" customHeight="1">
      <c r="B6" s="286"/>
      <c r="C6" s="291"/>
      <c r="D6" s="292"/>
      <c r="E6" s="292"/>
      <c r="F6" s="292"/>
      <c r="G6" s="292"/>
      <c r="H6" s="292"/>
      <c r="I6" s="475" t="s">
        <v>258</v>
      </c>
      <c r="J6" s="475"/>
      <c r="K6" s="295"/>
      <c r="L6" s="296"/>
      <c r="M6" s="295"/>
      <c r="N6" s="297"/>
      <c r="O6" s="297"/>
      <c r="P6" s="476" t="s">
        <v>259</v>
      </c>
      <c r="Q6" s="476"/>
      <c r="R6" s="297"/>
      <c r="S6" s="292"/>
      <c r="T6" s="292"/>
      <c r="U6" s="294"/>
      <c r="V6" s="290"/>
    </row>
    <row r="7" spans="2:22" ht="15" customHeight="1">
      <c r="B7" s="286"/>
      <c r="C7" s="291"/>
      <c r="D7" s="292"/>
      <c r="E7" s="292"/>
      <c r="F7" s="292"/>
      <c r="G7" s="292"/>
      <c r="H7" s="292"/>
      <c r="I7" s="475"/>
      <c r="J7" s="475"/>
      <c r="K7" s="295"/>
      <c r="L7" s="295"/>
      <c r="M7" s="295"/>
      <c r="N7" s="297"/>
      <c r="O7" s="297"/>
      <c r="P7" s="476" t="s">
        <v>260</v>
      </c>
      <c r="Q7" s="476"/>
      <c r="R7" s="297"/>
      <c r="S7" s="292"/>
      <c r="T7" s="292"/>
      <c r="U7" s="294"/>
      <c r="V7" s="290"/>
    </row>
    <row r="8" spans="2:22" ht="12.75" customHeight="1">
      <c r="B8" s="286"/>
      <c r="C8" s="291"/>
      <c r="D8" s="292"/>
      <c r="E8" s="292"/>
      <c r="F8" s="292"/>
      <c r="G8" s="292"/>
      <c r="H8" s="292"/>
      <c r="I8" s="477" t="s">
        <v>261</v>
      </c>
      <c r="J8" s="477"/>
      <c r="K8" s="477"/>
      <c r="L8" s="477"/>
      <c r="M8" s="477"/>
      <c r="N8" s="477"/>
      <c r="O8" s="477"/>
      <c r="P8" s="476" t="s">
        <v>262</v>
      </c>
      <c r="Q8" s="476"/>
      <c r="R8" s="297"/>
      <c r="S8" s="292"/>
      <c r="T8" s="292"/>
      <c r="U8" s="294"/>
      <c r="V8" s="290"/>
    </row>
    <row r="9" spans="2:22" ht="10.5" customHeight="1">
      <c r="B9" s="286"/>
      <c r="C9" s="291"/>
      <c r="D9" s="292"/>
      <c r="E9" s="292"/>
      <c r="F9" s="292"/>
      <c r="G9" s="292"/>
      <c r="H9" s="292"/>
      <c r="I9" s="477"/>
      <c r="J9" s="477"/>
      <c r="K9" s="477"/>
      <c r="L9" s="477"/>
      <c r="M9" s="477"/>
      <c r="N9" s="477"/>
      <c r="O9" s="477"/>
      <c r="P9" s="292"/>
      <c r="Q9" s="292"/>
      <c r="R9" s="292"/>
      <c r="S9" s="292"/>
      <c r="T9" s="292"/>
      <c r="U9" s="294"/>
      <c r="V9" s="290"/>
    </row>
    <row r="10" spans="2:22" ht="10.5" customHeight="1">
      <c r="B10" s="286"/>
      <c r="C10" s="291"/>
      <c r="D10" s="292"/>
      <c r="E10" s="292"/>
      <c r="F10" s="292"/>
      <c r="G10" s="292"/>
      <c r="H10" s="292"/>
      <c r="I10" s="478" t="s">
        <v>263</v>
      </c>
      <c r="J10" s="478"/>
      <c r="K10" s="478"/>
      <c r="L10" s="478"/>
      <c r="M10" s="295"/>
      <c r="N10" s="298"/>
      <c r="O10" s="292"/>
      <c r="P10" s="292"/>
      <c r="Q10" s="292"/>
      <c r="R10" s="292"/>
      <c r="S10" s="292"/>
      <c r="T10" s="292"/>
      <c r="U10" s="294"/>
      <c r="V10" s="290"/>
    </row>
    <row r="11" spans="2:22" ht="10.5" customHeight="1">
      <c r="B11" s="286"/>
      <c r="C11" s="291"/>
      <c r="D11" s="292"/>
      <c r="E11" s="292"/>
      <c r="F11" s="292"/>
      <c r="G11" s="292"/>
      <c r="H11" s="292"/>
      <c r="I11" s="478"/>
      <c r="J11" s="478"/>
      <c r="K11" s="478"/>
      <c r="L11" s="478"/>
      <c r="M11" s="295"/>
      <c r="N11" s="298"/>
      <c r="O11" s="292"/>
      <c r="P11" s="292"/>
      <c r="Q11" s="292"/>
      <c r="R11" s="292"/>
      <c r="S11" s="292"/>
      <c r="T11" s="292"/>
      <c r="U11" s="294"/>
      <c r="V11" s="290"/>
    </row>
    <row r="12" spans="2:22" ht="10.5" customHeight="1">
      <c r="B12" s="286"/>
      <c r="C12" s="291"/>
      <c r="D12" s="292"/>
      <c r="E12" s="292"/>
      <c r="F12" s="292"/>
      <c r="G12" s="292"/>
      <c r="H12" s="292"/>
      <c r="I12" s="478"/>
      <c r="J12" s="478"/>
      <c r="K12" s="478"/>
      <c r="L12" s="478"/>
      <c r="M12" s="292"/>
      <c r="N12" s="292"/>
      <c r="O12" s="292"/>
      <c r="P12" s="292"/>
      <c r="Q12" s="292"/>
      <c r="R12" s="292"/>
      <c r="S12" s="292"/>
      <c r="T12" s="292"/>
      <c r="U12" s="294"/>
      <c r="V12" s="290"/>
    </row>
    <row r="13" spans="2:22" ht="12.75">
      <c r="B13" s="286"/>
      <c r="C13" s="291"/>
      <c r="D13" s="292"/>
      <c r="E13" s="292"/>
      <c r="F13" s="292" t="s">
        <v>264</v>
      </c>
      <c r="G13" s="292"/>
      <c r="H13" s="292"/>
      <c r="I13" s="299" t="s">
        <v>265</v>
      </c>
      <c r="J13" s="292"/>
      <c r="K13" s="292"/>
      <c r="L13" s="292"/>
      <c r="M13" s="292"/>
      <c r="N13" s="292"/>
      <c r="O13" s="292"/>
      <c r="P13" s="292"/>
      <c r="Q13" s="292"/>
      <c r="R13" s="292"/>
      <c r="S13" s="292"/>
      <c r="T13" s="292"/>
      <c r="U13" s="294"/>
      <c r="V13" s="290"/>
    </row>
    <row r="14" spans="1:256" ht="12.75" customHeight="1">
      <c r="A14"/>
      <c r="B14" s="4"/>
      <c r="C14" s="123"/>
      <c r="D14" s="11"/>
      <c r="E14" s="11"/>
      <c r="F14" s="11"/>
      <c r="G14" s="11"/>
      <c r="H14" s="11"/>
      <c r="I14" s="11" t="s">
        <v>266</v>
      </c>
      <c r="J14" s="11"/>
      <c r="K14" s="11"/>
      <c r="L14" s="11"/>
      <c r="M14" s="11"/>
      <c r="N14" s="11"/>
      <c r="O14" s="11"/>
      <c r="P14" s="11"/>
      <c r="Q14" s="11"/>
      <c r="R14" s="11"/>
      <c r="S14" s="300"/>
      <c r="T14" s="11"/>
      <c r="U14" s="122"/>
      <c r="V14" s="5"/>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c r="B15" s="4"/>
      <c r="C15" s="123"/>
      <c r="D15" s="11"/>
      <c r="E15" s="11"/>
      <c r="F15" s="11"/>
      <c r="G15" s="11"/>
      <c r="H15" s="11"/>
      <c r="I15" s="301" t="s">
        <v>267</v>
      </c>
      <c r="J15" s="11"/>
      <c r="K15" s="11"/>
      <c r="L15" s="11"/>
      <c r="M15" s="11"/>
      <c r="N15" s="11"/>
      <c r="O15" s="11"/>
      <c r="P15" s="11"/>
      <c r="Q15" s="11"/>
      <c r="R15" s="11"/>
      <c r="S15" s="300"/>
      <c r="T15" s="11"/>
      <c r="U15" s="122"/>
      <c r="V15" s="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9" customHeight="1">
      <c r="A16"/>
      <c r="B16" s="4"/>
      <c r="C16" s="123"/>
      <c r="D16" s="11"/>
      <c r="E16" s="11"/>
      <c r="F16" s="301"/>
      <c r="G16" s="11"/>
      <c r="H16" s="11"/>
      <c r="I16" s="301"/>
      <c r="J16" s="11"/>
      <c r="K16" s="11"/>
      <c r="L16" s="11"/>
      <c r="M16" s="11"/>
      <c r="N16" s="11"/>
      <c r="O16" s="11"/>
      <c r="P16" s="11"/>
      <c r="Q16" s="11"/>
      <c r="R16" s="11"/>
      <c r="S16" s="300"/>
      <c r="T16" s="11"/>
      <c r="U16" s="122"/>
      <c r="V16" s="5"/>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22" ht="7.5" customHeight="1">
      <c r="B17" s="286"/>
      <c r="C17" s="291"/>
      <c r="D17" s="292"/>
      <c r="E17" s="292"/>
      <c r="F17" s="292"/>
      <c r="G17" s="292"/>
      <c r="H17" s="292"/>
      <c r="I17" s="292"/>
      <c r="J17" s="292"/>
      <c r="K17" s="292"/>
      <c r="L17" s="292"/>
      <c r="M17" s="292"/>
      <c r="N17" s="292"/>
      <c r="O17" s="292"/>
      <c r="P17" s="292"/>
      <c r="Q17" s="292"/>
      <c r="R17" s="292"/>
      <c r="S17" s="302"/>
      <c r="T17" s="292"/>
      <c r="U17" s="294"/>
      <c r="V17" s="290"/>
    </row>
    <row r="18" spans="2:22" ht="20.25" customHeight="1">
      <c r="B18" s="286"/>
      <c r="C18" s="291"/>
      <c r="D18" s="479" t="s">
        <v>268</v>
      </c>
      <c r="E18" s="479"/>
      <c r="F18" s="479"/>
      <c r="G18" s="479"/>
      <c r="H18" s="479"/>
      <c r="I18" s="479"/>
      <c r="J18" s="479"/>
      <c r="K18" s="479"/>
      <c r="L18" s="479"/>
      <c r="M18" s="479"/>
      <c r="N18" s="479"/>
      <c r="O18" s="479"/>
      <c r="P18" s="479"/>
      <c r="Q18" s="479"/>
      <c r="R18" s="479"/>
      <c r="S18" s="479"/>
      <c r="T18" s="479"/>
      <c r="U18" s="294"/>
      <c r="V18" s="290"/>
    </row>
    <row r="19" spans="2:22" ht="23.25">
      <c r="B19" s="286"/>
      <c r="C19" s="291"/>
      <c r="D19" s="292"/>
      <c r="E19" s="479" t="s">
        <v>269</v>
      </c>
      <c r="F19" s="479"/>
      <c r="G19" s="479"/>
      <c r="H19" s="479"/>
      <c r="I19" s="479"/>
      <c r="J19" s="479"/>
      <c r="K19" s="479"/>
      <c r="L19" s="479"/>
      <c r="M19" s="479"/>
      <c r="N19" s="479"/>
      <c r="O19" s="479"/>
      <c r="P19" s="479"/>
      <c r="Q19" s="479"/>
      <c r="R19" s="479"/>
      <c r="S19" s="479"/>
      <c r="T19" s="479"/>
      <c r="U19" s="294"/>
      <c r="V19" s="290"/>
    </row>
    <row r="20" spans="2:22" ht="18" customHeight="1">
      <c r="B20" s="286"/>
      <c r="C20" s="291"/>
      <c r="D20" s="292"/>
      <c r="E20" s="292"/>
      <c r="F20" s="303"/>
      <c r="G20" s="303"/>
      <c r="H20" s="303"/>
      <c r="I20" s="303"/>
      <c r="J20" s="303"/>
      <c r="K20" s="303"/>
      <c r="L20" s="303"/>
      <c r="M20" s="303"/>
      <c r="N20" s="303"/>
      <c r="O20" s="303"/>
      <c r="P20" s="303"/>
      <c r="Q20" s="303"/>
      <c r="R20" s="303"/>
      <c r="S20" s="303"/>
      <c r="T20" s="292"/>
      <c r="U20" s="294"/>
      <c r="V20" s="290"/>
    </row>
    <row r="21" spans="2:22" ht="4.5" customHeight="1">
      <c r="B21" s="286"/>
      <c r="C21" s="291"/>
      <c r="D21" s="304"/>
      <c r="E21" s="305"/>
      <c r="F21" s="305"/>
      <c r="G21" s="305"/>
      <c r="H21" s="305"/>
      <c r="I21" s="305"/>
      <c r="J21" s="305"/>
      <c r="K21" s="305"/>
      <c r="L21" s="305"/>
      <c r="M21" s="305"/>
      <c r="N21" s="305"/>
      <c r="O21" s="305"/>
      <c r="P21" s="305"/>
      <c r="Q21" s="305"/>
      <c r="R21" s="305"/>
      <c r="S21" s="305"/>
      <c r="T21" s="306"/>
      <c r="U21" s="294"/>
      <c r="V21" s="290"/>
    </row>
    <row r="22" spans="2:22" s="307" customFormat="1" ht="21" customHeight="1">
      <c r="B22" s="308"/>
      <c r="C22" s="309"/>
      <c r="D22" s="310" t="s">
        <v>270</v>
      </c>
      <c r="E22" s="311"/>
      <c r="F22" s="311"/>
      <c r="G22" s="311"/>
      <c r="H22" s="311"/>
      <c r="I22" s="312"/>
      <c r="J22" s="312"/>
      <c r="K22" s="312"/>
      <c r="L22" s="312"/>
      <c r="M22" s="312"/>
      <c r="N22" s="312"/>
      <c r="O22" s="312"/>
      <c r="P22" s="312"/>
      <c r="Q22" s="312"/>
      <c r="R22" s="312"/>
      <c r="S22" s="312"/>
      <c r="T22" s="313"/>
      <c r="U22" s="314"/>
      <c r="V22" s="315"/>
    </row>
    <row r="23" spans="2:22" s="307" customFormat="1" ht="4.5" customHeight="1">
      <c r="B23" s="308"/>
      <c r="C23" s="309"/>
      <c r="D23" s="316"/>
      <c r="E23" s="312"/>
      <c r="F23" s="312"/>
      <c r="G23" s="312"/>
      <c r="H23" s="312"/>
      <c r="I23" s="312"/>
      <c r="J23" s="312"/>
      <c r="K23" s="312"/>
      <c r="L23" s="312"/>
      <c r="M23" s="312"/>
      <c r="N23" s="312"/>
      <c r="O23" s="312"/>
      <c r="P23" s="312"/>
      <c r="Q23" s="312"/>
      <c r="R23" s="312"/>
      <c r="S23" s="312"/>
      <c r="T23" s="313"/>
      <c r="U23" s="314"/>
      <c r="V23" s="315"/>
    </row>
    <row r="24" spans="2:22" ht="15.75" customHeight="1">
      <c r="B24" s="286"/>
      <c r="C24" s="291"/>
      <c r="D24" s="480" t="s">
        <v>271</v>
      </c>
      <c r="E24" s="480"/>
      <c r="F24" s="480"/>
      <c r="G24" s="480"/>
      <c r="H24" s="480"/>
      <c r="I24" s="480"/>
      <c r="J24" s="480"/>
      <c r="K24" s="480"/>
      <c r="L24" s="481"/>
      <c r="M24" s="481"/>
      <c r="N24" s="481"/>
      <c r="O24" s="481"/>
      <c r="P24" s="481"/>
      <c r="Q24" s="481"/>
      <c r="R24" s="481"/>
      <c r="S24" s="481"/>
      <c r="T24" s="481"/>
      <c r="U24" s="294"/>
      <c r="V24" s="290"/>
    </row>
    <row r="25" spans="2:22" ht="15.75" customHeight="1">
      <c r="B25" s="286"/>
      <c r="C25" s="291"/>
      <c r="D25" s="480" t="s">
        <v>272</v>
      </c>
      <c r="E25" s="480"/>
      <c r="F25" s="480"/>
      <c r="G25" s="480"/>
      <c r="H25" s="480"/>
      <c r="I25" s="480"/>
      <c r="J25" s="480"/>
      <c r="K25" s="480"/>
      <c r="L25" s="481"/>
      <c r="M25" s="481"/>
      <c r="N25" s="481"/>
      <c r="O25" s="481"/>
      <c r="P25" s="481"/>
      <c r="Q25" s="481"/>
      <c r="R25" s="481"/>
      <c r="S25" s="481"/>
      <c r="T25" s="481"/>
      <c r="U25" s="294"/>
      <c r="V25" s="290"/>
    </row>
    <row r="26" spans="2:22" ht="15.75" customHeight="1">
      <c r="B26" s="286"/>
      <c r="C26" s="291"/>
      <c r="D26" s="480" t="s">
        <v>273</v>
      </c>
      <c r="E26" s="480"/>
      <c r="F26" s="480"/>
      <c r="G26" s="480"/>
      <c r="H26" s="480"/>
      <c r="I26" s="480"/>
      <c r="J26" s="480"/>
      <c r="K26" s="480"/>
      <c r="L26" s="481"/>
      <c r="M26" s="481"/>
      <c r="N26" s="481"/>
      <c r="O26" s="481"/>
      <c r="P26" s="481"/>
      <c r="Q26" s="481"/>
      <c r="R26" s="481"/>
      <c r="S26" s="481"/>
      <c r="T26" s="481"/>
      <c r="U26" s="294"/>
      <c r="V26" s="290"/>
    </row>
    <row r="27" spans="2:22" ht="15.75" customHeight="1">
      <c r="B27" s="286"/>
      <c r="C27" s="291"/>
      <c r="D27" s="480" t="s">
        <v>274</v>
      </c>
      <c r="E27" s="480"/>
      <c r="F27" s="480"/>
      <c r="G27" s="480"/>
      <c r="H27" s="480"/>
      <c r="I27" s="480"/>
      <c r="J27" s="480"/>
      <c r="K27" s="480"/>
      <c r="L27" s="481"/>
      <c r="M27" s="481"/>
      <c r="N27" s="481"/>
      <c r="O27" s="481"/>
      <c r="P27" s="481"/>
      <c r="Q27" s="481"/>
      <c r="R27" s="481"/>
      <c r="S27" s="481"/>
      <c r="T27" s="481"/>
      <c r="U27" s="294"/>
      <c r="V27" s="290"/>
    </row>
    <row r="28" spans="2:22" ht="31.5" customHeight="1">
      <c r="B28" s="286"/>
      <c r="C28" s="291"/>
      <c r="D28" s="480" t="s">
        <v>275</v>
      </c>
      <c r="E28" s="480"/>
      <c r="F28" s="480"/>
      <c r="G28" s="480"/>
      <c r="H28" s="480"/>
      <c r="I28" s="480"/>
      <c r="J28" s="480"/>
      <c r="K28" s="480"/>
      <c r="L28" s="482"/>
      <c r="M28" s="482"/>
      <c r="N28" s="482"/>
      <c r="O28" s="482"/>
      <c r="P28" s="482"/>
      <c r="Q28" s="482"/>
      <c r="R28" s="482"/>
      <c r="S28" s="482"/>
      <c r="T28" s="482"/>
      <c r="U28" s="294"/>
      <c r="V28" s="290"/>
    </row>
    <row r="29" spans="2:22" ht="15.75" customHeight="1">
      <c r="B29" s="286"/>
      <c r="C29" s="291"/>
      <c r="D29" s="480" t="s">
        <v>276</v>
      </c>
      <c r="E29" s="480"/>
      <c r="F29" s="480"/>
      <c r="G29" s="480"/>
      <c r="H29" s="480"/>
      <c r="I29" s="480"/>
      <c r="J29" s="480"/>
      <c r="K29" s="480"/>
      <c r="L29" s="481"/>
      <c r="M29" s="481"/>
      <c r="N29" s="481"/>
      <c r="O29" s="481"/>
      <c r="P29" s="481"/>
      <c r="Q29" s="481"/>
      <c r="R29" s="481"/>
      <c r="S29" s="481"/>
      <c r="T29" s="481"/>
      <c r="U29" s="294"/>
      <c r="V29" s="290"/>
    </row>
    <row r="30" spans="2:22" ht="4.5" customHeight="1">
      <c r="B30" s="286"/>
      <c r="C30" s="291"/>
      <c r="D30" s="317"/>
      <c r="E30" s="318"/>
      <c r="F30" s="318"/>
      <c r="G30" s="318"/>
      <c r="H30" s="318"/>
      <c r="I30" s="318"/>
      <c r="J30" s="318"/>
      <c r="K30" s="318"/>
      <c r="L30" s="319"/>
      <c r="M30" s="320"/>
      <c r="N30" s="320"/>
      <c r="O30" s="320"/>
      <c r="P30" s="320"/>
      <c r="Q30" s="320"/>
      <c r="R30" s="320"/>
      <c r="S30" s="320"/>
      <c r="T30" s="321"/>
      <c r="U30" s="294"/>
      <c r="V30" s="290"/>
    </row>
    <row r="31" spans="2:22" ht="15.75" customHeight="1">
      <c r="B31" s="286"/>
      <c r="C31" s="291"/>
      <c r="D31" s="322"/>
      <c r="E31" s="322"/>
      <c r="F31" s="322"/>
      <c r="G31" s="322"/>
      <c r="H31" s="322"/>
      <c r="I31" s="322"/>
      <c r="J31" s="322"/>
      <c r="K31" s="322"/>
      <c r="L31" s="323"/>
      <c r="M31" s="324"/>
      <c r="N31" s="324"/>
      <c r="O31" s="324"/>
      <c r="P31" s="324"/>
      <c r="Q31" s="324"/>
      <c r="R31" s="324"/>
      <c r="S31" s="324"/>
      <c r="T31" s="324"/>
      <c r="U31" s="294"/>
      <c r="V31" s="290"/>
    </row>
    <row r="32" spans="2:22" ht="5.25" customHeight="1">
      <c r="B32" s="286"/>
      <c r="C32" s="291"/>
      <c r="D32" s="325"/>
      <c r="E32" s="326"/>
      <c r="F32" s="326"/>
      <c r="G32" s="326"/>
      <c r="H32" s="326"/>
      <c r="I32" s="326"/>
      <c r="J32" s="326"/>
      <c r="K32" s="326"/>
      <c r="L32" s="327"/>
      <c r="M32" s="328"/>
      <c r="N32" s="328"/>
      <c r="O32" s="328"/>
      <c r="P32" s="328"/>
      <c r="Q32" s="328"/>
      <c r="R32" s="328"/>
      <c r="S32" s="328"/>
      <c r="T32" s="329"/>
      <c r="U32" s="294"/>
      <c r="V32" s="290"/>
    </row>
    <row r="33" spans="2:22" s="330" customFormat="1" ht="21" customHeight="1">
      <c r="B33" s="331"/>
      <c r="C33" s="332"/>
      <c r="D33" s="310" t="s">
        <v>277</v>
      </c>
      <c r="E33" s="311"/>
      <c r="F33" s="311"/>
      <c r="G33" s="311"/>
      <c r="H33" s="311"/>
      <c r="I33" s="311"/>
      <c r="J33" s="311"/>
      <c r="K33" s="311"/>
      <c r="L33" s="311"/>
      <c r="M33" s="311"/>
      <c r="N33" s="311"/>
      <c r="O33" s="311"/>
      <c r="P33" s="311"/>
      <c r="Q33" s="311"/>
      <c r="R33" s="311"/>
      <c r="S33" s="311"/>
      <c r="T33" s="333"/>
      <c r="U33" s="334"/>
      <c r="V33" s="335"/>
    </row>
    <row r="34" spans="2:22" s="336" customFormat="1" ht="4.5" customHeight="1">
      <c r="B34" s="337"/>
      <c r="C34" s="338"/>
      <c r="D34" s="316"/>
      <c r="E34" s="312"/>
      <c r="F34" s="312"/>
      <c r="G34" s="312"/>
      <c r="H34" s="312"/>
      <c r="I34" s="312"/>
      <c r="J34" s="312"/>
      <c r="K34" s="312"/>
      <c r="L34" s="312"/>
      <c r="M34" s="312"/>
      <c r="N34" s="312"/>
      <c r="O34" s="312"/>
      <c r="P34" s="312"/>
      <c r="Q34" s="312"/>
      <c r="R34" s="312"/>
      <c r="S34" s="312"/>
      <c r="T34" s="313"/>
      <c r="U34" s="339"/>
      <c r="V34" s="340"/>
    </row>
    <row r="35" spans="2:22" s="307" customFormat="1" ht="15.75" customHeight="1">
      <c r="B35" s="308"/>
      <c r="C35" s="309"/>
      <c r="D35" s="480" t="s">
        <v>278</v>
      </c>
      <c r="E35" s="480"/>
      <c r="F35" s="480"/>
      <c r="G35" s="480"/>
      <c r="H35" s="480"/>
      <c r="I35" s="483">
        <f>SÖZLEŞME!$Y$7</f>
        <v>0</v>
      </c>
      <c r="J35" s="483"/>
      <c r="K35" s="483"/>
      <c r="L35" s="483"/>
      <c r="M35" s="483"/>
      <c r="N35" s="483"/>
      <c r="O35" s="483"/>
      <c r="P35" s="483"/>
      <c r="Q35" s="483"/>
      <c r="R35" s="483"/>
      <c r="S35" s="483"/>
      <c r="T35" s="483"/>
      <c r="U35" s="314"/>
      <c r="V35" s="315"/>
    </row>
    <row r="36" spans="2:22" s="307" customFormat="1" ht="15.75" customHeight="1">
      <c r="B36" s="308"/>
      <c r="C36" s="309"/>
      <c r="D36" s="480" t="s">
        <v>279</v>
      </c>
      <c r="E36" s="480"/>
      <c r="F36" s="480"/>
      <c r="G36" s="480"/>
      <c r="H36" s="480"/>
      <c r="I36" s="483"/>
      <c r="J36" s="483"/>
      <c r="K36" s="483"/>
      <c r="L36" s="483"/>
      <c r="M36" s="483"/>
      <c r="N36" s="483"/>
      <c r="O36" s="483"/>
      <c r="P36" s="483"/>
      <c r="Q36" s="483"/>
      <c r="R36" s="483"/>
      <c r="S36" s="483"/>
      <c r="T36" s="483"/>
      <c r="U36" s="314"/>
      <c r="V36" s="315"/>
    </row>
    <row r="37" spans="2:22" s="307" customFormat="1" ht="15.75" customHeight="1">
      <c r="B37" s="308"/>
      <c r="C37" s="309"/>
      <c r="D37" s="480" t="s">
        <v>280</v>
      </c>
      <c r="E37" s="480"/>
      <c r="F37" s="480"/>
      <c r="G37" s="480"/>
      <c r="H37" s="480"/>
      <c r="I37" s="483">
        <f>SÖZLEŞME!Y8</f>
        <v>0</v>
      </c>
      <c r="J37" s="483"/>
      <c r="K37" s="483"/>
      <c r="L37" s="483"/>
      <c r="M37" s="483"/>
      <c r="N37" s="483"/>
      <c r="O37" s="483"/>
      <c r="P37" s="483"/>
      <c r="Q37" s="483"/>
      <c r="R37" s="483"/>
      <c r="S37" s="483"/>
      <c r="T37" s="483"/>
      <c r="U37" s="314"/>
      <c r="V37" s="315"/>
    </row>
    <row r="38" spans="2:22" s="307" customFormat="1" ht="15.75" customHeight="1">
      <c r="B38" s="308"/>
      <c r="C38" s="309"/>
      <c r="D38" s="480" t="s">
        <v>281</v>
      </c>
      <c r="E38" s="480"/>
      <c r="F38" s="480"/>
      <c r="G38" s="480"/>
      <c r="H38" s="480"/>
      <c r="I38" s="483">
        <f>SÖZLEŞME!Y10</f>
        <v>0</v>
      </c>
      <c r="J38" s="483"/>
      <c r="K38" s="483"/>
      <c r="L38" s="483"/>
      <c r="M38" s="483"/>
      <c r="N38" s="483"/>
      <c r="O38" s="483"/>
      <c r="P38" s="483"/>
      <c r="Q38" s="483"/>
      <c r="R38" s="483"/>
      <c r="S38" s="483"/>
      <c r="T38" s="483"/>
      <c r="U38" s="314"/>
      <c r="V38" s="315"/>
    </row>
    <row r="39" spans="2:22" s="307" customFormat="1" ht="15.75" customHeight="1">
      <c r="B39" s="308"/>
      <c r="C39" s="309"/>
      <c r="D39" s="480" t="s">
        <v>282</v>
      </c>
      <c r="E39" s="480"/>
      <c r="F39" s="480"/>
      <c r="G39" s="480"/>
      <c r="H39" s="480"/>
      <c r="I39" s="483">
        <f>SÖZLEŞME!$B$17</f>
        <v>0</v>
      </c>
      <c r="J39" s="483"/>
      <c r="K39" s="483"/>
      <c r="L39" s="484" t="s">
        <v>283</v>
      </c>
      <c r="M39" s="484"/>
      <c r="N39" s="484" t="s">
        <v>284</v>
      </c>
      <c r="O39" s="484"/>
      <c r="P39" s="484"/>
      <c r="Q39" s="484" t="s">
        <v>285</v>
      </c>
      <c r="R39" s="484"/>
      <c r="S39" s="484" t="s">
        <v>286</v>
      </c>
      <c r="T39" s="484"/>
      <c r="U39" s="314"/>
      <c r="V39" s="315"/>
    </row>
    <row r="40" spans="2:22" s="307" customFormat="1" ht="15.75" customHeight="1">
      <c r="B40" s="308"/>
      <c r="C40" s="309"/>
      <c r="D40" s="480" t="s">
        <v>11</v>
      </c>
      <c r="E40" s="480"/>
      <c r="F40" s="480"/>
      <c r="G40" s="480"/>
      <c r="H40" s="480"/>
      <c r="I40" s="483">
        <f>SÖZLEŞME!$G$17</f>
        <v>0</v>
      </c>
      <c r="J40" s="483"/>
      <c r="K40" s="483"/>
      <c r="L40" s="484">
        <f>SÖZLEŞME!G27</f>
        <v>0</v>
      </c>
      <c r="M40" s="484"/>
      <c r="N40" s="485" t="str">
        <f>SÖZLEŞME!$B$27</f>
        <v>Konut </v>
      </c>
      <c r="O40" s="485"/>
      <c r="P40" s="485"/>
      <c r="Q40" s="485">
        <f>SÖZLEŞME!K27</f>
        <v>2</v>
      </c>
      <c r="R40" s="485"/>
      <c r="S40" s="486">
        <f>'ASGARİ ÜCRET FORMU'!$F$21</f>
        <v>250</v>
      </c>
      <c r="T40" s="486"/>
      <c r="U40" s="314"/>
      <c r="V40" s="315"/>
    </row>
    <row r="41" spans="2:22" s="307" customFormat="1" ht="15.75" customHeight="1">
      <c r="B41" s="308"/>
      <c r="C41" s="309"/>
      <c r="D41" s="480" t="s">
        <v>287</v>
      </c>
      <c r="E41" s="480"/>
      <c r="F41" s="480"/>
      <c r="G41" s="480"/>
      <c r="H41" s="480"/>
      <c r="I41" s="483"/>
      <c r="J41" s="483"/>
      <c r="K41" s="483"/>
      <c r="L41" s="484"/>
      <c r="M41" s="484"/>
      <c r="N41" s="485"/>
      <c r="O41" s="485"/>
      <c r="P41" s="485"/>
      <c r="Q41" s="485"/>
      <c r="R41" s="485"/>
      <c r="S41" s="486"/>
      <c r="T41" s="486"/>
      <c r="U41" s="314"/>
      <c r="V41" s="315"/>
    </row>
    <row r="42" spans="2:22" s="307" customFormat="1" ht="15.75" customHeight="1">
      <c r="B42" s="308"/>
      <c r="C42" s="309"/>
      <c r="D42" s="480" t="s">
        <v>12</v>
      </c>
      <c r="E42" s="480"/>
      <c r="F42" s="480"/>
      <c r="G42" s="480"/>
      <c r="H42" s="480"/>
      <c r="I42" s="483">
        <f>SÖZLEŞME!$K$17</f>
        <v>0</v>
      </c>
      <c r="J42" s="483"/>
      <c r="K42" s="483"/>
      <c r="L42" s="484"/>
      <c r="M42" s="484"/>
      <c r="N42" s="485"/>
      <c r="O42" s="485"/>
      <c r="P42" s="485"/>
      <c r="Q42" s="485"/>
      <c r="R42" s="485"/>
      <c r="S42" s="486"/>
      <c r="T42" s="486"/>
      <c r="U42" s="314"/>
      <c r="V42" s="315"/>
    </row>
    <row r="43" spans="2:22" s="307" customFormat="1" ht="15.75" customHeight="1">
      <c r="B43" s="308"/>
      <c r="C43" s="309"/>
      <c r="D43" s="480" t="s">
        <v>288</v>
      </c>
      <c r="E43" s="480"/>
      <c r="F43" s="480"/>
      <c r="G43" s="480"/>
      <c r="H43" s="480"/>
      <c r="I43" s="481"/>
      <c r="J43" s="481"/>
      <c r="K43" s="481"/>
      <c r="L43" s="484"/>
      <c r="M43" s="484"/>
      <c r="N43" s="485"/>
      <c r="O43" s="485"/>
      <c r="P43" s="485"/>
      <c r="Q43" s="485"/>
      <c r="R43" s="485"/>
      <c r="S43" s="486"/>
      <c r="T43" s="486"/>
      <c r="U43" s="314"/>
      <c r="V43" s="315"/>
    </row>
    <row r="44" spans="2:22" s="307" customFormat="1" ht="15.75" customHeight="1">
      <c r="B44" s="308"/>
      <c r="C44" s="309"/>
      <c r="D44" s="480" t="s">
        <v>13</v>
      </c>
      <c r="E44" s="480"/>
      <c r="F44" s="480"/>
      <c r="G44" s="480"/>
      <c r="H44" s="480"/>
      <c r="I44" s="483">
        <f>SÖZLEŞME!$R$17</f>
        <v>0</v>
      </c>
      <c r="J44" s="483"/>
      <c r="K44" s="483"/>
      <c r="L44" s="484"/>
      <c r="M44" s="484"/>
      <c r="N44" s="485"/>
      <c r="O44" s="485"/>
      <c r="P44" s="485"/>
      <c r="Q44" s="485"/>
      <c r="R44" s="485"/>
      <c r="S44" s="486"/>
      <c r="T44" s="486"/>
      <c r="U44" s="314"/>
      <c r="V44" s="315"/>
    </row>
    <row r="45" spans="2:22" s="307" customFormat="1" ht="15.75" customHeight="1">
      <c r="B45" s="308"/>
      <c r="C45" s="309"/>
      <c r="D45" s="480" t="s">
        <v>14</v>
      </c>
      <c r="E45" s="480"/>
      <c r="F45" s="480"/>
      <c r="G45" s="480"/>
      <c r="H45" s="480"/>
      <c r="I45" s="487">
        <f>SÖZLEŞME!$AA$17</f>
        <v>0</v>
      </c>
      <c r="J45" s="487"/>
      <c r="K45" s="487"/>
      <c r="L45" s="484"/>
      <c r="M45" s="484"/>
      <c r="N45" s="485"/>
      <c r="O45" s="485"/>
      <c r="P45" s="485"/>
      <c r="Q45" s="485"/>
      <c r="R45" s="485"/>
      <c r="S45" s="486"/>
      <c r="T45" s="486"/>
      <c r="U45" s="314"/>
      <c r="V45" s="315"/>
    </row>
    <row r="46" spans="2:22" s="307" customFormat="1" ht="15.75" customHeight="1">
      <c r="B46" s="308"/>
      <c r="C46" s="309"/>
      <c r="D46" s="480" t="s">
        <v>15</v>
      </c>
      <c r="E46" s="480"/>
      <c r="F46" s="480"/>
      <c r="G46" s="480"/>
      <c r="H46" s="480"/>
      <c r="I46" s="483">
        <f>SÖZLEŞME!$AF$17</f>
        <v>0</v>
      </c>
      <c r="J46" s="483"/>
      <c r="K46" s="483"/>
      <c r="L46" s="488" t="s">
        <v>289</v>
      </c>
      <c r="M46" s="488"/>
      <c r="N46" s="488"/>
      <c r="O46" s="489">
        <f>'ASGARİ ÜCRET FORMU'!$F$22</f>
        <v>2</v>
      </c>
      <c r="P46" s="489"/>
      <c r="Q46" s="488" t="s">
        <v>290</v>
      </c>
      <c r="R46" s="488"/>
      <c r="S46" s="486">
        <f>SUM(S40:S45)</f>
        <v>250</v>
      </c>
      <c r="T46" s="486"/>
      <c r="U46" s="314"/>
      <c r="V46" s="315"/>
    </row>
    <row r="47" spans="2:22" s="307" customFormat="1" ht="15.75" customHeight="1">
      <c r="B47" s="308"/>
      <c r="C47" s="309"/>
      <c r="D47" s="480" t="s">
        <v>16</v>
      </c>
      <c r="E47" s="480"/>
      <c r="F47" s="480"/>
      <c r="G47" s="480"/>
      <c r="H47" s="480"/>
      <c r="I47" s="487">
        <f>SÖZLEŞME!$AJ$17</f>
        <v>0</v>
      </c>
      <c r="J47" s="487"/>
      <c r="K47" s="487"/>
      <c r="L47" s="488" t="s">
        <v>291</v>
      </c>
      <c r="M47" s="488"/>
      <c r="N47" s="488"/>
      <c r="O47" s="489" t="str">
        <f>IF(O46&lt;3,"SOBALI",IF(O46="3A","KAT KALORİFERLİ",IF(O46="3B","MERKEZİ KALORİFERLİ",0)))</f>
        <v>SOBALI</v>
      </c>
      <c r="P47" s="489"/>
      <c r="Q47" s="488" t="s">
        <v>292</v>
      </c>
      <c r="R47" s="488"/>
      <c r="S47" s="484" t="s">
        <v>293</v>
      </c>
      <c r="T47" s="484"/>
      <c r="U47" s="314"/>
      <c r="V47" s="315"/>
    </row>
    <row r="48" spans="2:22" s="307" customFormat="1" ht="49.5" customHeight="1">
      <c r="B48" s="308"/>
      <c r="C48" s="309"/>
      <c r="D48" s="480" t="s">
        <v>294</v>
      </c>
      <c r="E48" s="480"/>
      <c r="F48" s="480"/>
      <c r="G48" s="480"/>
      <c r="H48" s="480"/>
      <c r="I48" s="490" t="str">
        <f>IF(O46&lt;3,"ISI YALITIM   ve                       SIHHİ TESİSATI","ISI YALITIM,                            SIHHİ TESİSATI  ve                   KALORİFER TESİSATI ")</f>
        <v>ISI YALITIM   ve                       SIHHİ TESİSATI</v>
      </c>
      <c r="J48" s="490"/>
      <c r="K48" s="490"/>
      <c r="L48" s="491" t="s">
        <v>295</v>
      </c>
      <c r="M48" s="491"/>
      <c r="N48" s="491"/>
      <c r="O48" s="492"/>
      <c r="P48" s="492"/>
      <c r="Q48" s="492"/>
      <c r="R48" s="492"/>
      <c r="S48" s="492"/>
      <c r="T48" s="492"/>
      <c r="U48" s="314"/>
      <c r="V48" s="315"/>
    </row>
    <row r="49" spans="2:22" s="307" customFormat="1" ht="15.75" customHeight="1">
      <c r="B49" s="308"/>
      <c r="C49" s="309"/>
      <c r="D49" s="480" t="s">
        <v>296</v>
      </c>
      <c r="E49" s="480"/>
      <c r="F49" s="480"/>
      <c r="G49" s="480"/>
      <c r="H49" s="480"/>
      <c r="I49" s="483" t="str">
        <f>SÖZLEŞME!$B$27</f>
        <v>Konut </v>
      </c>
      <c r="J49" s="483"/>
      <c r="K49" s="483"/>
      <c r="L49" s="491"/>
      <c r="M49" s="491"/>
      <c r="N49" s="491"/>
      <c r="O49" s="492"/>
      <c r="P49" s="492"/>
      <c r="Q49" s="492"/>
      <c r="R49" s="492"/>
      <c r="S49" s="492"/>
      <c r="T49" s="492"/>
      <c r="U49" s="314"/>
      <c r="V49" s="315"/>
    </row>
    <row r="50" spans="2:22" s="307" customFormat="1" ht="4.5" customHeight="1">
      <c r="B50" s="308"/>
      <c r="C50" s="309"/>
      <c r="D50" s="341"/>
      <c r="E50" s="342"/>
      <c r="F50" s="318"/>
      <c r="G50" s="318"/>
      <c r="H50" s="318"/>
      <c r="I50" s="318"/>
      <c r="J50" s="318"/>
      <c r="K50" s="318"/>
      <c r="L50" s="343"/>
      <c r="M50" s="343"/>
      <c r="N50" s="343"/>
      <c r="O50" s="344"/>
      <c r="P50" s="344"/>
      <c r="Q50" s="344"/>
      <c r="R50" s="344"/>
      <c r="S50" s="344"/>
      <c r="T50" s="345"/>
      <c r="U50" s="314"/>
      <c r="V50" s="315"/>
    </row>
    <row r="51" spans="2:22" ht="12.75">
      <c r="B51" s="286"/>
      <c r="C51" s="291"/>
      <c r="D51" s="292"/>
      <c r="E51" s="292"/>
      <c r="F51" s="292"/>
      <c r="G51" s="292"/>
      <c r="H51" s="292"/>
      <c r="I51" s="292"/>
      <c r="J51" s="292"/>
      <c r="K51" s="292"/>
      <c r="L51" s="324"/>
      <c r="M51" s="324"/>
      <c r="N51" s="324"/>
      <c r="O51" s="324"/>
      <c r="P51" s="324"/>
      <c r="Q51" s="324"/>
      <c r="R51" s="324"/>
      <c r="S51" s="324"/>
      <c r="T51" s="324"/>
      <c r="U51" s="294"/>
      <c r="V51" s="290"/>
    </row>
    <row r="52" spans="2:22" ht="12.75">
      <c r="B52" s="286"/>
      <c r="C52" s="291"/>
      <c r="D52" s="292"/>
      <c r="E52" s="292"/>
      <c r="F52" s="292"/>
      <c r="G52" s="292"/>
      <c r="H52" s="292"/>
      <c r="I52" s="292"/>
      <c r="J52" s="292"/>
      <c r="K52" s="292"/>
      <c r="L52" s="324"/>
      <c r="M52" s="324"/>
      <c r="N52" s="324"/>
      <c r="O52" s="324"/>
      <c r="P52" s="324"/>
      <c r="Q52" s="324"/>
      <c r="R52" s="324"/>
      <c r="S52" s="324"/>
      <c r="T52" s="324"/>
      <c r="U52" s="294"/>
      <c r="V52" s="290"/>
    </row>
    <row r="53" spans="2:22" s="346" customFormat="1" ht="12.75">
      <c r="B53" s="347"/>
      <c r="C53" s="348"/>
      <c r="D53" s="349" t="s">
        <v>297</v>
      </c>
      <c r="E53" s="350"/>
      <c r="F53" s="350"/>
      <c r="G53" s="350"/>
      <c r="H53" s="350"/>
      <c r="I53" s="350"/>
      <c r="J53" s="350"/>
      <c r="K53" s="350"/>
      <c r="L53" s="350"/>
      <c r="M53" s="350"/>
      <c r="N53" s="350"/>
      <c r="O53" s="350"/>
      <c r="P53" s="350"/>
      <c r="Q53" s="350"/>
      <c r="R53" s="350"/>
      <c r="S53" s="350"/>
      <c r="T53" s="350"/>
      <c r="U53" s="351"/>
      <c r="V53" s="352"/>
    </row>
    <row r="54" spans="2:22" s="346" customFormat="1" ht="12.75">
      <c r="B54" s="347"/>
      <c r="C54" s="348"/>
      <c r="D54" s="349" t="s">
        <v>298</v>
      </c>
      <c r="E54" s="350"/>
      <c r="F54" s="350"/>
      <c r="G54" s="350"/>
      <c r="H54" s="350"/>
      <c r="I54" s="350"/>
      <c r="J54" s="350"/>
      <c r="K54" s="350"/>
      <c r="L54" s="350"/>
      <c r="M54" s="350"/>
      <c r="N54" s="350"/>
      <c r="O54" s="350"/>
      <c r="P54" s="350"/>
      <c r="Q54" s="350"/>
      <c r="R54" s="350"/>
      <c r="S54" s="350"/>
      <c r="T54" s="350"/>
      <c r="U54" s="351"/>
      <c r="V54" s="352"/>
    </row>
    <row r="55" spans="2:22" s="346" customFormat="1" ht="12.75">
      <c r="B55" s="347"/>
      <c r="C55" s="348"/>
      <c r="D55" s="349" t="s">
        <v>299</v>
      </c>
      <c r="E55" s="350"/>
      <c r="F55" s="350"/>
      <c r="G55" s="350"/>
      <c r="H55" s="350"/>
      <c r="I55" s="350"/>
      <c r="J55" s="350"/>
      <c r="K55" s="350"/>
      <c r="L55" s="350"/>
      <c r="M55" s="350"/>
      <c r="N55" s="350"/>
      <c r="O55" s="350"/>
      <c r="P55" s="350"/>
      <c r="Q55" s="350"/>
      <c r="R55" s="350"/>
      <c r="S55" s="350"/>
      <c r="T55" s="350"/>
      <c r="U55" s="351"/>
      <c r="V55" s="352"/>
    </row>
    <row r="56" spans="2:22" s="346" customFormat="1" ht="12.75">
      <c r="B56" s="347"/>
      <c r="C56" s="348"/>
      <c r="D56" s="349" t="s">
        <v>300</v>
      </c>
      <c r="E56" s="350"/>
      <c r="F56" s="350"/>
      <c r="G56" s="350"/>
      <c r="H56" s="350"/>
      <c r="I56" s="350"/>
      <c r="J56" s="350"/>
      <c r="K56" s="350"/>
      <c r="L56" s="350"/>
      <c r="M56" s="350"/>
      <c r="N56" s="350"/>
      <c r="O56" s="350"/>
      <c r="P56" s="350"/>
      <c r="Q56" s="350"/>
      <c r="R56" s="350"/>
      <c r="S56" s="350"/>
      <c r="T56" s="350"/>
      <c r="U56" s="351"/>
      <c r="V56" s="352"/>
    </row>
    <row r="57" spans="2:22" s="346" customFormat="1" ht="12.75">
      <c r="B57" s="347"/>
      <c r="C57" s="348"/>
      <c r="D57" s="349"/>
      <c r="E57" s="350"/>
      <c r="F57" s="350"/>
      <c r="G57" s="350"/>
      <c r="H57" s="350"/>
      <c r="I57" s="350"/>
      <c r="J57" s="350"/>
      <c r="K57" s="350"/>
      <c r="L57" s="350"/>
      <c r="M57" s="350"/>
      <c r="N57" s="350"/>
      <c r="O57" s="350"/>
      <c r="P57" s="350"/>
      <c r="Q57" s="350"/>
      <c r="R57" s="350"/>
      <c r="S57" s="350"/>
      <c r="T57" s="350"/>
      <c r="U57" s="351"/>
      <c r="V57" s="352"/>
    </row>
    <row r="58" spans="2:22" s="346" customFormat="1" ht="12.75">
      <c r="B58" s="347"/>
      <c r="C58" s="348"/>
      <c r="D58" s="349" t="s">
        <v>301</v>
      </c>
      <c r="E58" s="350"/>
      <c r="F58" s="350"/>
      <c r="G58" s="350"/>
      <c r="H58" s="350"/>
      <c r="I58" s="350"/>
      <c r="J58" s="350"/>
      <c r="K58" s="350"/>
      <c r="L58" s="350"/>
      <c r="M58" s="350"/>
      <c r="N58" s="350"/>
      <c r="O58" s="350"/>
      <c r="P58" s="350"/>
      <c r="Q58" s="350"/>
      <c r="R58" s="350"/>
      <c r="S58" s="350"/>
      <c r="T58" s="350"/>
      <c r="U58" s="351"/>
      <c r="V58" s="352"/>
    </row>
    <row r="59" spans="2:22" s="346" customFormat="1" ht="12.75">
      <c r="B59" s="347"/>
      <c r="C59" s="348"/>
      <c r="D59" s="349" t="s">
        <v>302</v>
      </c>
      <c r="E59" s="350"/>
      <c r="F59" s="350"/>
      <c r="G59" s="350"/>
      <c r="H59" s="350"/>
      <c r="I59" s="350"/>
      <c r="J59" s="350"/>
      <c r="K59" s="350"/>
      <c r="L59" s="350"/>
      <c r="M59" s="350"/>
      <c r="N59" s="350"/>
      <c r="O59" s="350"/>
      <c r="P59" s="350"/>
      <c r="Q59" s="350"/>
      <c r="R59" s="350"/>
      <c r="S59" s="350"/>
      <c r="T59" s="350"/>
      <c r="U59" s="351"/>
      <c r="V59" s="352"/>
    </row>
    <row r="60" spans="2:22" s="346" customFormat="1" ht="12.75">
      <c r="B60" s="347"/>
      <c r="C60" s="348"/>
      <c r="D60" s="350"/>
      <c r="E60" s="350"/>
      <c r="F60" s="350"/>
      <c r="G60" s="350"/>
      <c r="H60" s="350"/>
      <c r="I60" s="350"/>
      <c r="J60" s="350"/>
      <c r="K60" s="350"/>
      <c r="L60" s="350"/>
      <c r="M60" s="350"/>
      <c r="N60" s="350"/>
      <c r="O60" s="350"/>
      <c r="P60" s="350"/>
      <c r="Q60" s="350"/>
      <c r="R60" s="350"/>
      <c r="S60" s="350"/>
      <c r="T60" s="350"/>
      <c r="U60" s="351"/>
      <c r="V60" s="352"/>
    </row>
    <row r="61" spans="2:22" ht="12.75">
      <c r="B61" s="286"/>
      <c r="C61" s="291"/>
      <c r="D61" s="353"/>
      <c r="E61" s="353"/>
      <c r="F61" s="353"/>
      <c r="G61" s="353"/>
      <c r="H61" s="353"/>
      <c r="I61" s="353"/>
      <c r="J61" s="353"/>
      <c r="K61" s="353"/>
      <c r="L61" s="353"/>
      <c r="M61" s="353"/>
      <c r="N61" s="353"/>
      <c r="O61" s="353"/>
      <c r="P61" s="353"/>
      <c r="Q61" s="353"/>
      <c r="R61" s="353"/>
      <c r="S61" s="353"/>
      <c r="T61" s="292"/>
      <c r="U61" s="294"/>
      <c r="V61" s="290"/>
    </row>
    <row r="62" spans="2:22" ht="12.75">
      <c r="B62" s="286"/>
      <c r="C62" s="291"/>
      <c r="D62" s="353"/>
      <c r="E62" s="353"/>
      <c r="F62" s="353"/>
      <c r="G62" s="353"/>
      <c r="H62" s="353"/>
      <c r="I62" s="353"/>
      <c r="J62" s="353"/>
      <c r="K62" s="353"/>
      <c r="L62" s="353"/>
      <c r="M62" s="353"/>
      <c r="N62" s="353"/>
      <c r="O62" s="353"/>
      <c r="P62" s="353"/>
      <c r="Q62" s="353"/>
      <c r="R62" s="353"/>
      <c r="S62" s="353"/>
      <c r="T62" s="292"/>
      <c r="U62" s="294"/>
      <c r="V62" s="290"/>
    </row>
    <row r="63" spans="2:22" ht="12.75">
      <c r="B63" s="286"/>
      <c r="C63" s="291"/>
      <c r="D63" s="353"/>
      <c r="E63" s="353"/>
      <c r="F63" s="353"/>
      <c r="G63" s="353"/>
      <c r="H63" s="353"/>
      <c r="I63" s="353"/>
      <c r="J63" s="353"/>
      <c r="K63" s="353"/>
      <c r="L63" s="353"/>
      <c r="M63" s="353"/>
      <c r="N63" s="353"/>
      <c r="O63" s="353"/>
      <c r="P63" s="353"/>
      <c r="Q63" s="353"/>
      <c r="R63" s="353"/>
      <c r="S63" s="353"/>
      <c r="T63" s="292"/>
      <c r="U63" s="294"/>
      <c r="V63" s="290"/>
    </row>
    <row r="64" spans="2:22" ht="12.75">
      <c r="B64" s="286"/>
      <c r="C64" s="291"/>
      <c r="D64" s="292"/>
      <c r="E64" s="292"/>
      <c r="F64" s="292"/>
      <c r="G64" s="292"/>
      <c r="H64" s="292"/>
      <c r="I64" s="292"/>
      <c r="J64" s="493" t="s">
        <v>303</v>
      </c>
      <c r="K64" s="493"/>
      <c r="L64" s="493"/>
      <c r="M64" s="493"/>
      <c r="N64" s="493"/>
      <c r="O64" s="493"/>
      <c r="P64" s="297"/>
      <c r="Q64" s="292"/>
      <c r="R64" s="292"/>
      <c r="S64" s="292"/>
      <c r="T64" s="292"/>
      <c r="U64" s="294"/>
      <c r="V64" s="290"/>
    </row>
    <row r="65" spans="2:22" ht="12.75">
      <c r="B65" s="286"/>
      <c r="C65" s="291"/>
      <c r="D65" s="292"/>
      <c r="E65" s="292"/>
      <c r="F65" s="292"/>
      <c r="G65" s="292"/>
      <c r="H65" s="292"/>
      <c r="I65" s="292"/>
      <c r="J65" s="494" t="s">
        <v>304</v>
      </c>
      <c r="K65" s="494"/>
      <c r="L65" s="494"/>
      <c r="M65" s="494"/>
      <c r="N65" s="494"/>
      <c r="O65" s="494"/>
      <c r="P65" s="356"/>
      <c r="Q65" s="292"/>
      <c r="R65" s="292"/>
      <c r="S65" s="292"/>
      <c r="T65" s="292"/>
      <c r="U65" s="294"/>
      <c r="V65" s="290"/>
    </row>
    <row r="66" spans="2:22" ht="12.75">
      <c r="B66" s="286"/>
      <c r="C66" s="291"/>
      <c r="D66" s="292"/>
      <c r="E66" s="292"/>
      <c r="F66" s="292"/>
      <c r="G66" s="292"/>
      <c r="H66" s="292"/>
      <c r="I66" s="292"/>
      <c r="J66" s="493" t="s">
        <v>96</v>
      </c>
      <c r="K66" s="493"/>
      <c r="L66" s="493"/>
      <c r="M66" s="297"/>
      <c r="N66" s="297"/>
      <c r="O66" s="297"/>
      <c r="P66" s="297"/>
      <c r="Q66" s="292"/>
      <c r="R66" s="292"/>
      <c r="S66" s="292"/>
      <c r="T66" s="292"/>
      <c r="U66" s="294"/>
      <c r="V66" s="290"/>
    </row>
    <row r="67" spans="2:22" ht="12.75">
      <c r="B67" s="286"/>
      <c r="C67" s="291"/>
      <c r="D67" s="292"/>
      <c r="E67" s="292"/>
      <c r="F67" s="292"/>
      <c r="G67" s="292"/>
      <c r="H67" s="292"/>
      <c r="I67" s="292"/>
      <c r="J67" s="493" t="s">
        <v>97</v>
      </c>
      <c r="K67" s="493"/>
      <c r="L67" s="493"/>
      <c r="M67" s="292"/>
      <c r="N67" s="292"/>
      <c r="O67" s="292"/>
      <c r="P67" s="292"/>
      <c r="Q67" s="292"/>
      <c r="R67" s="292"/>
      <c r="S67" s="292"/>
      <c r="T67" s="292"/>
      <c r="U67" s="294"/>
      <c r="V67" s="290"/>
    </row>
    <row r="68" spans="2:22" ht="12.75">
      <c r="B68" s="286"/>
      <c r="C68" s="291"/>
      <c r="D68" s="292"/>
      <c r="E68" s="292"/>
      <c r="F68" s="292"/>
      <c r="G68" s="292"/>
      <c r="H68" s="292"/>
      <c r="I68" s="292"/>
      <c r="J68" s="493" t="s">
        <v>305</v>
      </c>
      <c r="K68" s="493"/>
      <c r="L68" s="493"/>
      <c r="M68" s="292"/>
      <c r="N68" s="292"/>
      <c r="O68" s="292"/>
      <c r="P68" s="292"/>
      <c r="Q68" s="292"/>
      <c r="R68" s="292"/>
      <c r="S68" s="292"/>
      <c r="T68" s="292"/>
      <c r="U68" s="294"/>
      <c r="V68" s="290"/>
    </row>
    <row r="69" spans="2:22" ht="12.75">
      <c r="B69" s="286"/>
      <c r="C69" s="291"/>
      <c r="D69" s="292"/>
      <c r="E69" s="292"/>
      <c r="F69" s="292"/>
      <c r="G69" s="292"/>
      <c r="H69" s="292"/>
      <c r="I69" s="292"/>
      <c r="J69" s="354"/>
      <c r="K69" s="354"/>
      <c r="L69" s="354"/>
      <c r="M69" s="292"/>
      <c r="N69" s="292"/>
      <c r="O69" s="292"/>
      <c r="P69" s="292"/>
      <c r="Q69" s="292"/>
      <c r="R69" s="292"/>
      <c r="S69" s="292"/>
      <c r="T69" s="292"/>
      <c r="U69" s="294"/>
      <c r="V69" s="290"/>
    </row>
    <row r="70" spans="2:22" ht="12.75">
      <c r="B70" s="286"/>
      <c r="C70" s="291"/>
      <c r="D70" s="292"/>
      <c r="E70" s="292"/>
      <c r="F70" s="292"/>
      <c r="G70" s="292"/>
      <c r="H70" s="292"/>
      <c r="I70" s="292"/>
      <c r="J70" s="354"/>
      <c r="K70" s="354"/>
      <c r="L70" s="354"/>
      <c r="M70" s="292"/>
      <c r="N70" s="292"/>
      <c r="O70" s="292"/>
      <c r="P70" s="292"/>
      <c r="Q70" s="292"/>
      <c r="R70" s="292"/>
      <c r="S70" s="292"/>
      <c r="T70" s="292"/>
      <c r="U70" s="294"/>
      <c r="V70" s="290"/>
    </row>
    <row r="71" spans="2:22" ht="12.75">
      <c r="B71" s="286"/>
      <c r="C71" s="291"/>
      <c r="D71" s="292"/>
      <c r="E71" s="292"/>
      <c r="F71" s="292"/>
      <c r="G71" s="292"/>
      <c r="H71" s="292"/>
      <c r="I71" s="292"/>
      <c r="J71" s="354"/>
      <c r="K71" s="354"/>
      <c r="L71" s="354"/>
      <c r="M71" s="292"/>
      <c r="N71" s="292"/>
      <c r="O71" s="292"/>
      <c r="P71" s="292"/>
      <c r="Q71" s="292"/>
      <c r="R71" s="292"/>
      <c r="S71" s="292"/>
      <c r="T71" s="292"/>
      <c r="U71" s="294"/>
      <c r="V71" s="290"/>
    </row>
    <row r="72" spans="2:22" ht="12.75">
      <c r="B72" s="286"/>
      <c r="C72" s="291"/>
      <c r="D72" s="292"/>
      <c r="E72" s="292"/>
      <c r="F72" s="292"/>
      <c r="G72" s="292"/>
      <c r="H72" s="354"/>
      <c r="I72" s="354"/>
      <c r="J72" s="354"/>
      <c r="K72" s="292"/>
      <c r="L72" s="292"/>
      <c r="M72" s="292"/>
      <c r="N72" s="292"/>
      <c r="O72" s="292"/>
      <c r="P72" s="292"/>
      <c r="Q72" s="292"/>
      <c r="R72" s="292"/>
      <c r="S72" s="292"/>
      <c r="T72" s="292"/>
      <c r="U72" s="294"/>
      <c r="V72" s="290"/>
    </row>
    <row r="73" spans="2:22" ht="12.75">
      <c r="B73" s="286"/>
      <c r="C73" s="291"/>
      <c r="D73" s="292"/>
      <c r="E73" s="292"/>
      <c r="F73" s="292"/>
      <c r="G73" s="354"/>
      <c r="H73" s="354"/>
      <c r="I73" s="354"/>
      <c r="J73" s="292"/>
      <c r="K73" s="292"/>
      <c r="L73" s="292"/>
      <c r="M73" s="292"/>
      <c r="N73" s="292"/>
      <c r="O73" s="292"/>
      <c r="P73" s="292"/>
      <c r="Q73" s="292"/>
      <c r="R73" s="292"/>
      <c r="S73" s="292"/>
      <c r="T73" s="292"/>
      <c r="U73" s="294"/>
      <c r="V73" s="290"/>
    </row>
    <row r="74" spans="2:22" ht="12.75">
      <c r="B74" s="286"/>
      <c r="C74" s="291"/>
      <c r="D74" s="292"/>
      <c r="E74" s="292"/>
      <c r="F74" s="292"/>
      <c r="G74" s="354"/>
      <c r="H74" s="354"/>
      <c r="I74" s="354"/>
      <c r="J74" s="292"/>
      <c r="K74" s="292"/>
      <c r="L74" s="292"/>
      <c r="M74" s="292"/>
      <c r="N74" s="292"/>
      <c r="O74" s="292"/>
      <c r="P74" s="292"/>
      <c r="Q74" s="292"/>
      <c r="R74" s="292"/>
      <c r="S74" s="292"/>
      <c r="T74" s="292"/>
      <c r="U74" s="294"/>
      <c r="V74" s="290"/>
    </row>
    <row r="75" spans="2:22" ht="12.75">
      <c r="B75" s="286"/>
      <c r="C75" s="357"/>
      <c r="D75" s="358"/>
      <c r="E75" s="358"/>
      <c r="F75" s="358"/>
      <c r="G75" s="358"/>
      <c r="H75" s="358"/>
      <c r="I75" s="358"/>
      <c r="J75" s="358"/>
      <c r="K75" s="358"/>
      <c r="L75" s="358"/>
      <c r="M75" s="358"/>
      <c r="N75" s="358"/>
      <c r="O75" s="358"/>
      <c r="P75" s="358"/>
      <c r="Q75" s="358"/>
      <c r="R75" s="358"/>
      <c r="S75" s="358"/>
      <c r="T75" s="358"/>
      <c r="U75" s="359"/>
      <c r="V75" s="290"/>
    </row>
    <row r="76" spans="2:22" ht="7.5" customHeight="1">
      <c r="B76" s="360"/>
      <c r="C76" s="361"/>
      <c r="D76" s="361"/>
      <c r="E76" s="361"/>
      <c r="F76" s="361"/>
      <c r="G76" s="361"/>
      <c r="H76" s="361"/>
      <c r="I76" s="361"/>
      <c r="J76" s="361"/>
      <c r="K76" s="361"/>
      <c r="L76" s="361"/>
      <c r="M76" s="361"/>
      <c r="N76" s="361"/>
      <c r="O76" s="361"/>
      <c r="P76" s="361"/>
      <c r="Q76" s="361"/>
      <c r="R76" s="361"/>
      <c r="S76" s="361"/>
      <c r="T76" s="361"/>
      <c r="U76" s="361"/>
      <c r="V76" s="362"/>
    </row>
    <row r="77" spans="3:19" ht="12.75">
      <c r="C77" s="292"/>
      <c r="D77" s="292"/>
      <c r="E77" s="292"/>
      <c r="F77" s="292"/>
      <c r="G77" s="292"/>
      <c r="H77" s="292"/>
      <c r="I77" s="292"/>
      <c r="J77" s="292"/>
      <c r="K77" s="292"/>
      <c r="L77" s="292"/>
      <c r="M77" s="292"/>
      <c r="N77" s="292"/>
      <c r="O77" s="292"/>
      <c r="P77" s="292"/>
      <c r="Q77" s="292"/>
      <c r="R77" s="292"/>
      <c r="S77" s="292"/>
    </row>
  </sheetData>
  <mergeCells count="93">
    <mergeCell ref="J68:L68"/>
    <mergeCell ref="J64:O64"/>
    <mergeCell ref="J65:O65"/>
    <mergeCell ref="J66:L66"/>
    <mergeCell ref="J67:L67"/>
    <mergeCell ref="D48:H48"/>
    <mergeCell ref="I48:K48"/>
    <mergeCell ref="L48:N49"/>
    <mergeCell ref="O48:T49"/>
    <mergeCell ref="D49:H49"/>
    <mergeCell ref="I49:K49"/>
    <mergeCell ref="Q46:R46"/>
    <mergeCell ref="S46:T46"/>
    <mergeCell ref="D47:H47"/>
    <mergeCell ref="I47:K47"/>
    <mergeCell ref="L47:N47"/>
    <mergeCell ref="O47:P47"/>
    <mergeCell ref="Q47:R47"/>
    <mergeCell ref="S47:T47"/>
    <mergeCell ref="D46:H46"/>
    <mergeCell ref="I46:K46"/>
    <mergeCell ref="L46:N46"/>
    <mergeCell ref="O46:P46"/>
    <mergeCell ref="Q44:R44"/>
    <mergeCell ref="S44:T44"/>
    <mergeCell ref="D45:H45"/>
    <mergeCell ref="I45:K45"/>
    <mergeCell ref="L45:M45"/>
    <mergeCell ref="N45:P45"/>
    <mergeCell ref="Q45:R45"/>
    <mergeCell ref="S45:T45"/>
    <mergeCell ref="D44:H44"/>
    <mergeCell ref="I44:K44"/>
    <mergeCell ref="L44:M44"/>
    <mergeCell ref="N44:P44"/>
    <mergeCell ref="Q42:R42"/>
    <mergeCell ref="S42:T42"/>
    <mergeCell ref="D43:H43"/>
    <mergeCell ref="I43:K43"/>
    <mergeCell ref="L43:M43"/>
    <mergeCell ref="N43:P43"/>
    <mergeCell ref="Q43:R43"/>
    <mergeCell ref="S43:T43"/>
    <mergeCell ref="D42:H42"/>
    <mergeCell ref="I42:K42"/>
    <mergeCell ref="L42:M42"/>
    <mergeCell ref="N42:P42"/>
    <mergeCell ref="Q40:R40"/>
    <mergeCell ref="S40:T40"/>
    <mergeCell ref="D41:H41"/>
    <mergeCell ref="I41:K41"/>
    <mergeCell ref="L41:M41"/>
    <mergeCell ref="N41:P41"/>
    <mergeCell ref="Q41:R41"/>
    <mergeCell ref="S41:T41"/>
    <mergeCell ref="D40:H40"/>
    <mergeCell ref="I40:K40"/>
    <mergeCell ref="L40:M40"/>
    <mergeCell ref="N40:P40"/>
    <mergeCell ref="D38:H38"/>
    <mergeCell ref="I38:T38"/>
    <mergeCell ref="D39:H39"/>
    <mergeCell ref="I39:K39"/>
    <mergeCell ref="L39:M39"/>
    <mergeCell ref="N39:P39"/>
    <mergeCell ref="Q39:R39"/>
    <mergeCell ref="S39:T39"/>
    <mergeCell ref="D36:H36"/>
    <mergeCell ref="I36:T36"/>
    <mergeCell ref="D37:H37"/>
    <mergeCell ref="I37:T37"/>
    <mergeCell ref="D29:K29"/>
    <mergeCell ref="L29:T29"/>
    <mergeCell ref="D35:H35"/>
    <mergeCell ref="I35:T35"/>
    <mergeCell ref="D27:K27"/>
    <mergeCell ref="L27:T27"/>
    <mergeCell ref="D28:K28"/>
    <mergeCell ref="L28:T28"/>
    <mergeCell ref="D25:K25"/>
    <mergeCell ref="L25:T25"/>
    <mergeCell ref="D26:K26"/>
    <mergeCell ref="L26:T26"/>
    <mergeCell ref="I10:L12"/>
    <mergeCell ref="D18:T18"/>
    <mergeCell ref="E19:T19"/>
    <mergeCell ref="D24:K24"/>
    <mergeCell ref="L24:T24"/>
    <mergeCell ref="I6:J7"/>
    <mergeCell ref="P6:Q6"/>
    <mergeCell ref="P7:Q7"/>
    <mergeCell ref="I8:O9"/>
    <mergeCell ref="P8:Q8"/>
  </mergeCells>
  <dataValidations count="1">
    <dataValidation type="list" operator="equal" allowBlank="1" showInputMessage="1" showErrorMessage="1" prompt="Yakıt Cinsini Listeden  Seçiniz" error="Yakıt Cinsini Listeden Seçiniz ?" sqref="S47:T47">
      <formula1>"Katı yakıt,Fuel-oil,Doğalgaz,LPG,Elektrik,Güneş,Termal,Rüzgar"</formula1>
    </dataValidation>
  </dataValidations>
  <printOptions/>
  <pageMargins left="0.5118055555555556" right="0.15763888888888888" top="0.39375" bottom="0.39375" header="0.5118055555555556" footer="0.5118055555555556"/>
  <pageSetup cellComments="atEnd" fitToHeight="1" fitToWidth="1" horizontalDpi="300" verticalDpi="300" orientation="portrait" paperSize="9"/>
  <drawing r:id="rId3"/>
  <legacyDrawing r:id="rId2"/>
  <oleObjects>
    <oleObject progId="opendocument.WriterDocument.1" shapeId="48276634" r:id="rId1"/>
  </oleObjects>
</worksheet>
</file>

<file path=xl/worksheets/sheet11.xml><?xml version="1.0" encoding="utf-8"?>
<worksheet xmlns="http://schemas.openxmlformats.org/spreadsheetml/2006/main" xmlns:r="http://schemas.openxmlformats.org/officeDocument/2006/relationships">
  <sheetPr>
    <pageSetUpPr fitToPage="1"/>
  </sheetPr>
  <dimension ref="A3:IV77"/>
  <sheetViews>
    <sheetView showZeros="0" workbookViewId="0" topLeftCell="A22">
      <selection activeCell="O31" sqref="O31"/>
    </sheetView>
  </sheetViews>
  <sheetFormatPr defaultColWidth="9.140625" defaultRowHeight="12.75"/>
  <cols>
    <col min="1" max="1" width="0.85546875" style="282" customWidth="1"/>
    <col min="2" max="3" width="1.28515625" style="282" customWidth="1"/>
    <col min="4" max="4" width="1.1484375" style="282" customWidth="1"/>
    <col min="5" max="5" width="2.421875" style="282" customWidth="1"/>
    <col min="6" max="6" width="6.140625" style="282" customWidth="1"/>
    <col min="7" max="7" width="5.57421875" style="282" customWidth="1"/>
    <col min="8" max="8" width="6.140625" style="282" customWidth="1"/>
    <col min="9" max="9" width="9.00390625" style="282" customWidth="1"/>
    <col min="10" max="10" width="13.7109375" style="282" customWidth="1"/>
    <col min="11" max="11" width="5.140625" style="282" customWidth="1"/>
    <col min="12" max="12" width="6.421875" style="282" customWidth="1"/>
    <col min="13" max="13" width="7.00390625" style="282" customWidth="1"/>
    <col min="14" max="14" width="8.00390625" style="282" customWidth="1"/>
    <col min="15" max="15" width="12.8515625" style="282" customWidth="1"/>
    <col min="16" max="16" width="13.421875" style="282" customWidth="1"/>
    <col min="17" max="17" width="6.140625" style="282" customWidth="1"/>
    <col min="18" max="18" width="6.28125" style="282" customWidth="1"/>
    <col min="19" max="19" width="6.57421875" style="282" customWidth="1"/>
    <col min="20" max="20" width="7.57421875" style="282" customWidth="1"/>
    <col min="21" max="21" width="0.85546875" style="282" customWidth="1"/>
    <col min="22" max="22" width="1.28515625" style="282" customWidth="1"/>
    <col min="23" max="16384" width="6.140625" style="282" customWidth="1"/>
  </cols>
  <sheetData>
    <row r="1" ht="8.25" customHeight="1"/>
    <row r="2" ht="4.5" customHeight="1"/>
    <row r="3" spans="2:22" ht="7.5" customHeight="1">
      <c r="B3" s="283"/>
      <c r="C3" s="284"/>
      <c r="D3" s="284"/>
      <c r="E3" s="284"/>
      <c r="F3" s="284"/>
      <c r="G3" s="284"/>
      <c r="H3" s="284"/>
      <c r="I3" s="284"/>
      <c r="J3" s="284"/>
      <c r="K3" s="284"/>
      <c r="L3" s="284"/>
      <c r="M3" s="284"/>
      <c r="N3" s="284"/>
      <c r="O3" s="284"/>
      <c r="P3" s="284"/>
      <c r="Q3" s="284"/>
      <c r="R3" s="284"/>
      <c r="S3" s="284"/>
      <c r="T3" s="284"/>
      <c r="U3" s="284"/>
      <c r="V3" s="285"/>
    </row>
    <row r="4" spans="2:22" ht="12.75">
      <c r="B4" s="286"/>
      <c r="C4" s="287"/>
      <c r="D4" s="288"/>
      <c r="E4" s="288"/>
      <c r="F4" s="288"/>
      <c r="G4" s="288"/>
      <c r="H4" s="288"/>
      <c r="I4" s="288"/>
      <c r="J4" s="288"/>
      <c r="K4" s="288"/>
      <c r="L4" s="288"/>
      <c r="M4" s="288"/>
      <c r="N4" s="288"/>
      <c r="O4" s="288"/>
      <c r="P4" s="288"/>
      <c r="Q4" s="288"/>
      <c r="R4" s="288"/>
      <c r="S4" s="288"/>
      <c r="T4" s="288"/>
      <c r="U4" s="289"/>
      <c r="V4" s="290"/>
    </row>
    <row r="5" spans="2:22" ht="15" customHeight="1">
      <c r="B5" s="286"/>
      <c r="C5" s="291"/>
      <c r="D5" s="292"/>
      <c r="E5" s="292"/>
      <c r="F5" s="292"/>
      <c r="G5" s="292"/>
      <c r="H5" s="292"/>
      <c r="I5" s="292"/>
      <c r="J5" s="292"/>
      <c r="K5" s="292"/>
      <c r="L5" s="363" t="s">
        <v>306</v>
      </c>
      <c r="M5" s="292"/>
      <c r="N5" s="292"/>
      <c r="O5" s="292"/>
      <c r="P5" s="292"/>
      <c r="Q5" s="292"/>
      <c r="R5" s="292"/>
      <c r="S5" s="292"/>
      <c r="T5" s="292"/>
      <c r="U5" s="294"/>
      <c r="V5" s="290"/>
    </row>
    <row r="6" spans="2:22" ht="15" customHeight="1">
      <c r="B6" s="286"/>
      <c r="C6" s="291"/>
      <c r="D6" s="292"/>
      <c r="E6" s="292"/>
      <c r="F6" s="292"/>
      <c r="G6" s="292"/>
      <c r="H6" s="292"/>
      <c r="I6" s="495" t="s">
        <v>258</v>
      </c>
      <c r="J6" s="495"/>
      <c r="K6" s="295"/>
      <c r="L6" s="296"/>
      <c r="M6" s="295"/>
      <c r="N6" s="297"/>
      <c r="O6" s="297"/>
      <c r="P6" s="476" t="s">
        <v>259</v>
      </c>
      <c r="Q6" s="476"/>
      <c r="R6" s="297"/>
      <c r="S6" s="292"/>
      <c r="T6" s="292"/>
      <c r="U6" s="294"/>
      <c r="V6" s="290"/>
    </row>
    <row r="7" spans="2:22" ht="15" customHeight="1">
      <c r="B7" s="286"/>
      <c r="C7" s="291"/>
      <c r="D7" s="292"/>
      <c r="E7" s="292"/>
      <c r="F7" s="292"/>
      <c r="G7" s="292"/>
      <c r="H7" s="292"/>
      <c r="I7" s="495"/>
      <c r="J7" s="495"/>
      <c r="K7" s="295"/>
      <c r="L7" s="295"/>
      <c r="M7" s="295"/>
      <c r="N7" s="297"/>
      <c r="O7" s="297"/>
      <c r="P7" s="476" t="s">
        <v>260</v>
      </c>
      <c r="Q7" s="476"/>
      <c r="R7" s="297"/>
      <c r="S7" s="292"/>
      <c r="T7" s="292"/>
      <c r="U7" s="294"/>
      <c r="V7" s="290"/>
    </row>
    <row r="8" spans="2:22" ht="12.75" customHeight="1">
      <c r="B8" s="286"/>
      <c r="C8" s="291"/>
      <c r="D8" s="292"/>
      <c r="E8" s="292"/>
      <c r="F8" s="292"/>
      <c r="G8" s="292"/>
      <c r="H8" s="292"/>
      <c r="I8" s="477" t="s">
        <v>261</v>
      </c>
      <c r="J8" s="477"/>
      <c r="K8" s="477"/>
      <c r="L8" s="477"/>
      <c r="M8" s="477"/>
      <c r="N8" s="477"/>
      <c r="O8" s="477"/>
      <c r="P8" s="476" t="s">
        <v>262</v>
      </c>
      <c r="Q8" s="476"/>
      <c r="R8" s="297"/>
      <c r="S8" s="292"/>
      <c r="T8" s="292"/>
      <c r="U8" s="294"/>
      <c r="V8" s="290"/>
    </row>
    <row r="9" spans="2:22" ht="10.5" customHeight="1">
      <c r="B9" s="286"/>
      <c r="C9" s="291"/>
      <c r="D9" s="292"/>
      <c r="E9" s="292"/>
      <c r="F9" s="292"/>
      <c r="G9" s="292"/>
      <c r="H9" s="292"/>
      <c r="I9" s="477"/>
      <c r="J9" s="477"/>
      <c r="K9" s="477"/>
      <c r="L9" s="477"/>
      <c r="M9" s="477"/>
      <c r="N9" s="477"/>
      <c r="O9" s="477"/>
      <c r="P9" s="292"/>
      <c r="Q9" s="292"/>
      <c r="R9" s="292"/>
      <c r="S9" s="292"/>
      <c r="T9" s="292"/>
      <c r="U9" s="294"/>
      <c r="V9" s="290"/>
    </row>
    <row r="10" spans="2:22" ht="10.5" customHeight="1">
      <c r="B10" s="286"/>
      <c r="C10" s="291"/>
      <c r="D10" s="292"/>
      <c r="E10" s="292"/>
      <c r="F10" s="292"/>
      <c r="G10" s="292"/>
      <c r="H10" s="292"/>
      <c r="I10" s="478" t="s">
        <v>263</v>
      </c>
      <c r="J10" s="478"/>
      <c r="K10" s="478"/>
      <c r="L10" s="478"/>
      <c r="M10" s="295"/>
      <c r="N10" s="298"/>
      <c r="O10" s="292"/>
      <c r="P10" s="292"/>
      <c r="Q10" s="292"/>
      <c r="R10" s="292"/>
      <c r="S10" s="292"/>
      <c r="T10" s="292"/>
      <c r="U10" s="294"/>
      <c r="V10" s="290"/>
    </row>
    <row r="11" spans="2:22" ht="10.5" customHeight="1">
      <c r="B11" s="286"/>
      <c r="C11" s="291"/>
      <c r="D11" s="292"/>
      <c r="E11" s="292"/>
      <c r="F11" s="292"/>
      <c r="G11" s="292"/>
      <c r="H11" s="292"/>
      <c r="I11" s="478"/>
      <c r="J11" s="478"/>
      <c r="K11" s="478"/>
      <c r="L11" s="478"/>
      <c r="M11" s="295"/>
      <c r="N11" s="298"/>
      <c r="O11" s="292"/>
      <c r="P11" s="292"/>
      <c r="Q11" s="292"/>
      <c r="R11" s="292"/>
      <c r="S11" s="292"/>
      <c r="T11" s="292"/>
      <c r="U11" s="294"/>
      <c r="V11" s="290"/>
    </row>
    <row r="12" spans="2:22" ht="10.5" customHeight="1">
      <c r="B12" s="286"/>
      <c r="C12" s="291"/>
      <c r="D12" s="292"/>
      <c r="E12" s="292"/>
      <c r="F12" s="292"/>
      <c r="G12" s="292"/>
      <c r="H12" s="292"/>
      <c r="I12" s="292"/>
      <c r="J12" s="292"/>
      <c r="K12" s="292"/>
      <c r="L12" s="292"/>
      <c r="M12" s="292"/>
      <c r="N12" s="292"/>
      <c r="O12" s="292"/>
      <c r="P12" s="292"/>
      <c r="Q12" s="292"/>
      <c r="R12" s="292"/>
      <c r="S12" s="292"/>
      <c r="T12" s="292"/>
      <c r="U12" s="294"/>
      <c r="V12" s="290"/>
    </row>
    <row r="13" spans="2:22" ht="12.75">
      <c r="B13" s="286"/>
      <c r="C13" s="291"/>
      <c r="D13" s="292"/>
      <c r="E13" s="292"/>
      <c r="F13" s="292" t="s">
        <v>264</v>
      </c>
      <c r="G13" s="292"/>
      <c r="H13" s="292"/>
      <c r="I13" s="299" t="s">
        <v>265</v>
      </c>
      <c r="J13" s="292"/>
      <c r="K13" s="292"/>
      <c r="L13" s="292"/>
      <c r="M13" s="292"/>
      <c r="N13" s="292"/>
      <c r="O13" s="292"/>
      <c r="P13" s="292"/>
      <c r="Q13" s="292"/>
      <c r="R13" s="292"/>
      <c r="S13" s="292"/>
      <c r="T13" s="292"/>
      <c r="U13" s="294"/>
      <c r="V13" s="290"/>
    </row>
    <row r="14" spans="1:256" ht="12.75" customHeight="1">
      <c r="A14"/>
      <c r="B14" s="4"/>
      <c r="C14" s="123"/>
      <c r="D14" s="11"/>
      <c r="E14" s="11"/>
      <c r="F14" s="11"/>
      <c r="G14" s="11"/>
      <c r="H14" s="11"/>
      <c r="I14" s="11" t="s">
        <v>266</v>
      </c>
      <c r="J14" s="11"/>
      <c r="K14" s="11"/>
      <c r="L14" s="11"/>
      <c r="M14" s="11"/>
      <c r="N14" s="11"/>
      <c r="O14" s="11"/>
      <c r="P14" s="11"/>
      <c r="Q14" s="11"/>
      <c r="R14" s="364"/>
      <c r="S14" s="365"/>
      <c r="T14" s="11"/>
      <c r="U14" s="122"/>
      <c r="V14" s="5"/>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c r="B15" s="4"/>
      <c r="C15" s="123"/>
      <c r="D15" s="11"/>
      <c r="E15" s="11"/>
      <c r="F15" s="11"/>
      <c r="G15" s="11"/>
      <c r="H15" s="11"/>
      <c r="I15" s="301" t="s">
        <v>267</v>
      </c>
      <c r="J15" s="11"/>
      <c r="K15" s="11"/>
      <c r="L15" s="11"/>
      <c r="M15" s="11"/>
      <c r="N15" s="11"/>
      <c r="O15" s="11"/>
      <c r="P15" s="11"/>
      <c r="Q15" s="11"/>
      <c r="R15" s="364"/>
      <c r="S15" s="365"/>
      <c r="T15" s="11"/>
      <c r="U15" s="122"/>
      <c r="V15" s="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8.25" customHeight="1">
      <c r="A16"/>
      <c r="B16" s="4"/>
      <c r="C16" s="123"/>
      <c r="D16" s="11"/>
      <c r="E16" s="11"/>
      <c r="F16" s="301"/>
      <c r="G16" s="11"/>
      <c r="H16" s="11"/>
      <c r="I16" s="301"/>
      <c r="J16" s="11"/>
      <c r="K16" s="11"/>
      <c r="L16" s="11"/>
      <c r="M16" s="11"/>
      <c r="N16" s="11"/>
      <c r="O16" s="11"/>
      <c r="P16" s="11"/>
      <c r="Q16" s="11"/>
      <c r="R16" s="364"/>
      <c r="S16" s="365"/>
      <c r="T16" s="11"/>
      <c r="U16" s="122"/>
      <c r="V16" s="5"/>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22" ht="11.25" customHeight="1">
      <c r="B17" s="286"/>
      <c r="C17" s="291"/>
      <c r="D17" s="292"/>
      <c r="E17" s="292"/>
      <c r="F17" s="292"/>
      <c r="G17" s="292"/>
      <c r="H17" s="292"/>
      <c r="I17" s="292"/>
      <c r="J17" s="292"/>
      <c r="K17" s="292"/>
      <c r="L17" s="292"/>
      <c r="M17" s="292"/>
      <c r="N17" s="292"/>
      <c r="O17" s="292"/>
      <c r="P17" s="292"/>
      <c r="Q17" s="292"/>
      <c r="R17" s="292"/>
      <c r="S17" s="302"/>
      <c r="T17" s="292"/>
      <c r="U17" s="294"/>
      <c r="V17" s="290"/>
    </row>
    <row r="18" spans="2:22" ht="20.25" customHeight="1">
      <c r="B18" s="286"/>
      <c r="C18" s="291"/>
      <c r="D18" s="496" t="s">
        <v>307</v>
      </c>
      <c r="E18" s="496"/>
      <c r="F18" s="496"/>
      <c r="G18" s="496"/>
      <c r="H18" s="496"/>
      <c r="I18" s="496"/>
      <c r="J18" s="496"/>
      <c r="K18" s="496"/>
      <c r="L18" s="496"/>
      <c r="M18" s="496"/>
      <c r="N18" s="496"/>
      <c r="O18" s="496"/>
      <c r="P18" s="496"/>
      <c r="Q18" s="496"/>
      <c r="R18" s="496"/>
      <c r="S18" s="496"/>
      <c r="T18" s="496"/>
      <c r="U18" s="294"/>
      <c r="V18" s="290"/>
    </row>
    <row r="19" spans="2:22" ht="20.25">
      <c r="B19" s="286"/>
      <c r="C19" s="291"/>
      <c r="D19" s="292"/>
      <c r="E19" s="496" t="s">
        <v>308</v>
      </c>
      <c r="F19" s="496"/>
      <c r="G19" s="496"/>
      <c r="H19" s="496"/>
      <c r="I19" s="496"/>
      <c r="J19" s="496"/>
      <c r="K19" s="496"/>
      <c r="L19" s="496"/>
      <c r="M19" s="496"/>
      <c r="N19" s="496"/>
      <c r="O19" s="496"/>
      <c r="P19" s="496"/>
      <c r="Q19" s="496"/>
      <c r="R19" s="496"/>
      <c r="S19" s="496"/>
      <c r="T19" s="496"/>
      <c r="U19" s="294"/>
      <c r="V19" s="290"/>
    </row>
    <row r="20" spans="2:22" ht="18" customHeight="1">
      <c r="B20" s="286"/>
      <c r="C20" s="291"/>
      <c r="D20" s="292"/>
      <c r="E20" s="292"/>
      <c r="F20" s="303"/>
      <c r="G20" s="303"/>
      <c r="H20" s="303"/>
      <c r="I20" s="303"/>
      <c r="J20" s="303"/>
      <c r="K20" s="303"/>
      <c r="L20" s="303"/>
      <c r="M20" s="303"/>
      <c r="N20" s="303"/>
      <c r="O20" s="303"/>
      <c r="P20" s="303"/>
      <c r="Q20" s="303"/>
      <c r="R20" s="303"/>
      <c r="S20" s="303"/>
      <c r="T20" s="292"/>
      <c r="U20" s="294"/>
      <c r="V20" s="290"/>
    </row>
    <row r="21" spans="2:22" ht="4.5" customHeight="1">
      <c r="B21" s="286"/>
      <c r="C21" s="291"/>
      <c r="D21" s="304"/>
      <c r="E21" s="305"/>
      <c r="F21" s="305"/>
      <c r="G21" s="305"/>
      <c r="H21" s="305"/>
      <c r="I21" s="305"/>
      <c r="J21" s="305"/>
      <c r="K21" s="305"/>
      <c r="L21" s="305"/>
      <c r="M21" s="305"/>
      <c r="N21" s="305"/>
      <c r="O21" s="305"/>
      <c r="P21" s="305"/>
      <c r="Q21" s="305"/>
      <c r="R21" s="305"/>
      <c r="S21" s="305"/>
      <c r="T21" s="306"/>
      <c r="U21" s="294"/>
      <c r="V21" s="290"/>
    </row>
    <row r="22" spans="2:22" s="307" customFormat="1" ht="21" customHeight="1">
      <c r="B22" s="308"/>
      <c r="C22" s="309"/>
      <c r="D22" s="310" t="s">
        <v>270</v>
      </c>
      <c r="E22" s="311"/>
      <c r="F22" s="311"/>
      <c r="G22" s="311"/>
      <c r="H22" s="311"/>
      <c r="I22" s="312"/>
      <c r="J22" s="312"/>
      <c r="K22" s="312"/>
      <c r="L22" s="312"/>
      <c r="M22" s="312"/>
      <c r="N22" s="312"/>
      <c r="O22" s="312"/>
      <c r="P22" s="312"/>
      <c r="Q22" s="312"/>
      <c r="R22" s="312"/>
      <c r="S22" s="312"/>
      <c r="T22" s="313"/>
      <c r="U22" s="314"/>
      <c r="V22" s="315"/>
    </row>
    <row r="23" spans="2:22" s="307" customFormat="1" ht="4.5" customHeight="1">
      <c r="B23" s="308"/>
      <c r="C23" s="309"/>
      <c r="D23" s="316"/>
      <c r="E23" s="312"/>
      <c r="F23" s="312"/>
      <c r="G23" s="312"/>
      <c r="H23" s="312"/>
      <c r="I23" s="312"/>
      <c r="J23" s="312"/>
      <c r="K23" s="312"/>
      <c r="L23" s="312"/>
      <c r="M23" s="312"/>
      <c r="N23" s="312"/>
      <c r="O23" s="312"/>
      <c r="P23" s="312"/>
      <c r="Q23" s="312"/>
      <c r="R23" s="312"/>
      <c r="S23" s="312"/>
      <c r="T23" s="313"/>
      <c r="U23" s="314"/>
      <c r="V23" s="315"/>
    </row>
    <row r="24" spans="2:22" ht="15.75" customHeight="1">
      <c r="B24" s="286"/>
      <c r="C24" s="291"/>
      <c r="D24" s="480" t="s">
        <v>271</v>
      </c>
      <c r="E24" s="480"/>
      <c r="F24" s="480"/>
      <c r="G24" s="480"/>
      <c r="H24" s="480"/>
      <c r="I24" s="480"/>
      <c r="J24" s="480"/>
      <c r="K24" s="480"/>
      <c r="L24" s="481"/>
      <c r="M24" s="481"/>
      <c r="N24" s="481"/>
      <c r="O24" s="481"/>
      <c r="P24" s="481"/>
      <c r="Q24" s="481"/>
      <c r="R24" s="481"/>
      <c r="S24" s="481"/>
      <c r="T24" s="481"/>
      <c r="U24" s="294"/>
      <c r="V24" s="290"/>
    </row>
    <row r="25" spans="2:22" ht="15.75" customHeight="1">
      <c r="B25" s="286"/>
      <c r="C25" s="291"/>
      <c r="D25" s="480" t="s">
        <v>272</v>
      </c>
      <c r="E25" s="480"/>
      <c r="F25" s="480"/>
      <c r="G25" s="480"/>
      <c r="H25" s="480"/>
      <c r="I25" s="480"/>
      <c r="J25" s="480"/>
      <c r="K25" s="480"/>
      <c r="L25" s="481"/>
      <c r="M25" s="481"/>
      <c r="N25" s="481"/>
      <c r="O25" s="481"/>
      <c r="P25" s="481"/>
      <c r="Q25" s="481"/>
      <c r="R25" s="481"/>
      <c r="S25" s="481"/>
      <c r="T25" s="481"/>
      <c r="U25" s="294"/>
      <c r="V25" s="290"/>
    </row>
    <row r="26" spans="2:22" ht="15.75" customHeight="1">
      <c r="B26" s="286"/>
      <c r="C26" s="291"/>
      <c r="D26" s="480" t="s">
        <v>273</v>
      </c>
      <c r="E26" s="480"/>
      <c r="F26" s="480"/>
      <c r="G26" s="480"/>
      <c r="H26" s="480"/>
      <c r="I26" s="480"/>
      <c r="J26" s="480"/>
      <c r="K26" s="480"/>
      <c r="L26" s="481"/>
      <c r="M26" s="481"/>
      <c r="N26" s="481"/>
      <c r="O26" s="481"/>
      <c r="P26" s="481"/>
      <c r="Q26" s="481"/>
      <c r="R26" s="481"/>
      <c r="S26" s="481"/>
      <c r="T26" s="481"/>
      <c r="U26" s="294"/>
      <c r="V26" s="290"/>
    </row>
    <row r="27" spans="2:22" ht="15.75" customHeight="1">
      <c r="B27" s="286"/>
      <c r="C27" s="291"/>
      <c r="D27" s="480" t="s">
        <v>274</v>
      </c>
      <c r="E27" s="480"/>
      <c r="F27" s="480"/>
      <c r="G27" s="480"/>
      <c r="H27" s="480"/>
      <c r="I27" s="480"/>
      <c r="J27" s="480"/>
      <c r="K27" s="480"/>
      <c r="L27" s="481"/>
      <c r="M27" s="481"/>
      <c r="N27" s="481"/>
      <c r="O27" s="481"/>
      <c r="P27" s="481"/>
      <c r="Q27" s="481"/>
      <c r="R27" s="481"/>
      <c r="S27" s="481"/>
      <c r="T27" s="481"/>
      <c r="U27" s="294"/>
      <c r="V27" s="290"/>
    </row>
    <row r="28" spans="2:22" ht="31.5" customHeight="1">
      <c r="B28" s="286"/>
      <c r="C28" s="291"/>
      <c r="D28" s="480" t="s">
        <v>275</v>
      </c>
      <c r="E28" s="480"/>
      <c r="F28" s="480"/>
      <c r="G28" s="480"/>
      <c r="H28" s="480"/>
      <c r="I28" s="480"/>
      <c r="J28" s="480"/>
      <c r="K28" s="480"/>
      <c r="L28" s="482"/>
      <c r="M28" s="482"/>
      <c r="N28" s="482"/>
      <c r="O28" s="482"/>
      <c r="P28" s="482"/>
      <c r="Q28" s="482"/>
      <c r="R28" s="482"/>
      <c r="S28" s="482"/>
      <c r="T28" s="482"/>
      <c r="U28" s="294"/>
      <c r="V28" s="290"/>
    </row>
    <row r="29" spans="2:22" ht="15.75" customHeight="1">
      <c r="B29" s="286"/>
      <c r="C29" s="291"/>
      <c r="D29" s="480" t="s">
        <v>276</v>
      </c>
      <c r="E29" s="480"/>
      <c r="F29" s="480"/>
      <c r="G29" s="480"/>
      <c r="H29" s="480"/>
      <c r="I29" s="480"/>
      <c r="J29" s="480"/>
      <c r="K29" s="480"/>
      <c r="L29" s="481"/>
      <c r="M29" s="481"/>
      <c r="N29" s="481"/>
      <c r="O29" s="481"/>
      <c r="P29" s="481"/>
      <c r="Q29" s="481"/>
      <c r="R29" s="481"/>
      <c r="S29" s="481"/>
      <c r="T29" s="481"/>
      <c r="U29" s="294"/>
      <c r="V29" s="290"/>
    </row>
    <row r="30" spans="2:22" ht="4.5" customHeight="1">
      <c r="B30" s="286"/>
      <c r="C30" s="291"/>
      <c r="D30" s="325"/>
      <c r="E30" s="326"/>
      <c r="F30" s="326"/>
      <c r="G30" s="326"/>
      <c r="H30" s="326"/>
      <c r="I30" s="326"/>
      <c r="J30" s="326"/>
      <c r="K30" s="326"/>
      <c r="L30" s="319"/>
      <c r="M30" s="320"/>
      <c r="N30" s="320"/>
      <c r="O30" s="320"/>
      <c r="P30" s="320"/>
      <c r="Q30" s="320"/>
      <c r="R30" s="320"/>
      <c r="S30" s="320"/>
      <c r="T30" s="321"/>
      <c r="U30" s="294"/>
      <c r="V30" s="290"/>
    </row>
    <row r="31" spans="2:22" ht="15.75" customHeight="1">
      <c r="B31" s="286"/>
      <c r="C31" s="291"/>
      <c r="D31" s="322"/>
      <c r="E31" s="322"/>
      <c r="F31" s="322"/>
      <c r="G31" s="322"/>
      <c r="H31" s="322"/>
      <c r="I31" s="322"/>
      <c r="J31" s="322"/>
      <c r="K31" s="322"/>
      <c r="L31" s="323"/>
      <c r="M31" s="324"/>
      <c r="N31" s="324"/>
      <c r="O31" s="324"/>
      <c r="P31" s="324"/>
      <c r="Q31" s="324"/>
      <c r="R31" s="324"/>
      <c r="S31" s="324"/>
      <c r="T31" s="324"/>
      <c r="U31" s="294"/>
      <c r="V31" s="290"/>
    </row>
    <row r="32" spans="2:22" ht="5.25" customHeight="1">
      <c r="B32" s="286"/>
      <c r="C32" s="291"/>
      <c r="D32" s="325"/>
      <c r="E32" s="326"/>
      <c r="F32" s="326"/>
      <c r="G32" s="326"/>
      <c r="H32" s="326"/>
      <c r="I32" s="326"/>
      <c r="J32" s="326"/>
      <c r="K32" s="326"/>
      <c r="L32" s="327"/>
      <c r="M32" s="328"/>
      <c r="N32" s="328"/>
      <c r="O32" s="328"/>
      <c r="P32" s="328"/>
      <c r="Q32" s="328"/>
      <c r="R32" s="328"/>
      <c r="S32" s="328"/>
      <c r="T32" s="329"/>
      <c r="U32" s="294"/>
      <c r="V32" s="290"/>
    </row>
    <row r="33" spans="2:22" s="330" customFormat="1" ht="21" customHeight="1">
      <c r="B33" s="331"/>
      <c r="C33" s="332"/>
      <c r="D33" s="310" t="s">
        <v>277</v>
      </c>
      <c r="E33" s="311"/>
      <c r="F33" s="311"/>
      <c r="G33" s="311"/>
      <c r="H33" s="311"/>
      <c r="I33" s="311"/>
      <c r="J33" s="311"/>
      <c r="K33" s="311"/>
      <c r="L33" s="311"/>
      <c r="M33" s="311"/>
      <c r="N33" s="311"/>
      <c r="O33" s="311"/>
      <c r="P33" s="311"/>
      <c r="Q33" s="311"/>
      <c r="R33" s="311"/>
      <c r="S33" s="311"/>
      <c r="T33" s="333"/>
      <c r="U33" s="334"/>
      <c r="V33" s="335"/>
    </row>
    <row r="34" spans="2:22" s="336" customFormat="1" ht="4.5" customHeight="1">
      <c r="B34" s="337"/>
      <c r="C34" s="338"/>
      <c r="D34" s="316"/>
      <c r="E34" s="312"/>
      <c r="F34" s="312"/>
      <c r="G34" s="312"/>
      <c r="H34" s="312"/>
      <c r="I34" s="312"/>
      <c r="J34" s="312"/>
      <c r="K34" s="312"/>
      <c r="L34" s="312"/>
      <c r="M34" s="312"/>
      <c r="N34" s="312"/>
      <c r="O34" s="312"/>
      <c r="P34" s="312"/>
      <c r="Q34" s="312"/>
      <c r="R34" s="312"/>
      <c r="S34" s="312"/>
      <c r="T34" s="313"/>
      <c r="U34" s="339"/>
      <c r="V34" s="340"/>
    </row>
    <row r="35" spans="2:22" s="307" customFormat="1" ht="15.75" customHeight="1">
      <c r="B35" s="308"/>
      <c r="C35" s="309"/>
      <c r="D35" s="480" t="s">
        <v>278</v>
      </c>
      <c r="E35" s="480"/>
      <c r="F35" s="480"/>
      <c r="G35" s="480"/>
      <c r="H35" s="480"/>
      <c r="I35" s="483">
        <f>SÖZLEŞME!Y7</f>
        <v>0</v>
      </c>
      <c r="J35" s="483"/>
      <c r="K35" s="483"/>
      <c r="L35" s="483"/>
      <c r="M35" s="483"/>
      <c r="N35" s="483"/>
      <c r="O35" s="483"/>
      <c r="P35" s="483"/>
      <c r="Q35" s="483"/>
      <c r="R35" s="483"/>
      <c r="S35" s="483"/>
      <c r="T35" s="483"/>
      <c r="U35" s="314"/>
      <c r="V35" s="315"/>
    </row>
    <row r="36" spans="2:22" s="307" customFormat="1" ht="15.75" customHeight="1">
      <c r="B36" s="308"/>
      <c r="C36" s="309"/>
      <c r="D36" s="480" t="s">
        <v>279</v>
      </c>
      <c r="E36" s="480"/>
      <c r="F36" s="480"/>
      <c r="G36" s="480"/>
      <c r="H36" s="480"/>
      <c r="I36" s="483"/>
      <c r="J36" s="483"/>
      <c r="K36" s="483"/>
      <c r="L36" s="483"/>
      <c r="M36" s="483"/>
      <c r="N36" s="483"/>
      <c r="O36" s="483"/>
      <c r="P36" s="483"/>
      <c r="Q36" s="483"/>
      <c r="R36" s="483"/>
      <c r="S36" s="483"/>
      <c r="T36" s="483"/>
      <c r="U36" s="314"/>
      <c r="V36" s="315"/>
    </row>
    <row r="37" spans="2:22" s="307" customFormat="1" ht="15.75" customHeight="1">
      <c r="B37" s="308"/>
      <c r="C37" s="309"/>
      <c r="D37" s="480" t="s">
        <v>309</v>
      </c>
      <c r="E37" s="480"/>
      <c r="F37" s="480"/>
      <c r="G37" s="480"/>
      <c r="H37" s="480"/>
      <c r="I37" s="483">
        <f>SÖZLEŞME!Y8</f>
        <v>0</v>
      </c>
      <c r="J37" s="483"/>
      <c r="K37" s="483"/>
      <c r="L37" s="483"/>
      <c r="M37" s="483"/>
      <c r="N37" s="483"/>
      <c r="O37" s="483"/>
      <c r="P37" s="483"/>
      <c r="Q37" s="483"/>
      <c r="R37" s="483"/>
      <c r="S37" s="483"/>
      <c r="T37" s="483"/>
      <c r="U37" s="314"/>
      <c r="V37" s="315"/>
    </row>
    <row r="38" spans="2:22" s="307" customFormat="1" ht="15.75" customHeight="1">
      <c r="B38" s="308"/>
      <c r="C38" s="309"/>
      <c r="D38" s="480" t="s">
        <v>310</v>
      </c>
      <c r="E38" s="480"/>
      <c r="F38" s="480"/>
      <c r="G38" s="480"/>
      <c r="H38" s="480"/>
      <c r="I38" s="483">
        <f>SÖZLEŞME!Y11</f>
        <v>0</v>
      </c>
      <c r="J38" s="483"/>
      <c r="K38" s="483"/>
      <c r="L38" s="483"/>
      <c r="M38" s="483"/>
      <c r="N38" s="483"/>
      <c r="O38" s="483"/>
      <c r="P38" s="483"/>
      <c r="Q38" s="483"/>
      <c r="R38" s="483"/>
      <c r="S38" s="483"/>
      <c r="T38" s="483"/>
      <c r="U38" s="314"/>
      <c r="V38" s="315"/>
    </row>
    <row r="39" spans="2:22" s="307" customFormat="1" ht="15.75" customHeight="1">
      <c r="B39" s="308"/>
      <c r="C39" s="309"/>
      <c r="D39" s="480" t="s">
        <v>281</v>
      </c>
      <c r="E39" s="480"/>
      <c r="F39" s="480"/>
      <c r="G39" s="480"/>
      <c r="H39" s="480"/>
      <c r="I39" s="483">
        <f>SÖZLEŞME!Y10</f>
        <v>0</v>
      </c>
      <c r="J39" s="483"/>
      <c r="K39" s="483"/>
      <c r="L39" s="483"/>
      <c r="M39" s="483"/>
      <c r="N39" s="483"/>
      <c r="O39" s="483"/>
      <c r="P39" s="483"/>
      <c r="Q39" s="483"/>
      <c r="R39" s="483"/>
      <c r="S39" s="483"/>
      <c r="T39" s="483"/>
      <c r="U39" s="314"/>
      <c r="V39" s="315"/>
    </row>
    <row r="40" spans="2:22" s="307" customFormat="1" ht="15.75" customHeight="1">
      <c r="B40" s="308"/>
      <c r="C40" s="309"/>
      <c r="D40" s="480" t="s">
        <v>282</v>
      </c>
      <c r="E40" s="480"/>
      <c r="F40" s="480"/>
      <c r="G40" s="480"/>
      <c r="H40" s="480"/>
      <c r="I40" s="483">
        <f>SÖZLEŞME!$B$17</f>
        <v>0</v>
      </c>
      <c r="J40" s="483"/>
      <c r="K40" s="483"/>
      <c r="L40" s="497" t="s">
        <v>311</v>
      </c>
      <c r="M40" s="497"/>
      <c r="N40" s="497"/>
      <c r="O40" s="497"/>
      <c r="P40" s="497"/>
      <c r="Q40" s="498"/>
      <c r="R40" s="498"/>
      <c r="S40" s="498"/>
      <c r="T40" s="498"/>
      <c r="U40" s="314"/>
      <c r="V40" s="315"/>
    </row>
    <row r="41" spans="2:22" s="307" customFormat="1" ht="15.75" customHeight="1">
      <c r="B41" s="308"/>
      <c r="C41" s="309"/>
      <c r="D41" s="480" t="s">
        <v>11</v>
      </c>
      <c r="E41" s="480"/>
      <c r="F41" s="480"/>
      <c r="G41" s="480"/>
      <c r="H41" s="480"/>
      <c r="I41" s="483">
        <f>SÖZLEŞME!$G$17</f>
        <v>0</v>
      </c>
      <c r="J41" s="483"/>
      <c r="K41" s="483"/>
      <c r="L41" s="497" t="s">
        <v>312</v>
      </c>
      <c r="M41" s="497"/>
      <c r="N41" s="497"/>
      <c r="O41" s="497"/>
      <c r="P41" s="497"/>
      <c r="Q41" s="499">
        <v>0</v>
      </c>
      <c r="R41" s="499"/>
      <c r="S41" s="499"/>
      <c r="T41" s="499"/>
      <c r="U41" s="314"/>
      <c r="V41" s="315"/>
    </row>
    <row r="42" spans="2:22" s="307" customFormat="1" ht="15.75" customHeight="1">
      <c r="B42" s="308"/>
      <c r="C42" s="309"/>
      <c r="D42" s="480" t="s">
        <v>287</v>
      </c>
      <c r="E42" s="480"/>
      <c r="F42" s="480"/>
      <c r="G42" s="480"/>
      <c r="H42" s="480"/>
      <c r="I42" s="483"/>
      <c r="J42" s="483"/>
      <c r="K42" s="483"/>
      <c r="L42" s="497" t="s">
        <v>313</v>
      </c>
      <c r="M42" s="497"/>
      <c r="N42" s="497"/>
      <c r="O42" s="497"/>
      <c r="P42" s="497"/>
      <c r="Q42" s="499">
        <v>0</v>
      </c>
      <c r="R42" s="499"/>
      <c r="S42" s="499"/>
      <c r="T42" s="499"/>
      <c r="U42" s="314"/>
      <c r="V42" s="315"/>
    </row>
    <row r="43" spans="2:22" s="307" customFormat="1" ht="15.75" customHeight="1">
      <c r="B43" s="308"/>
      <c r="C43" s="309"/>
      <c r="D43" s="480" t="s">
        <v>12</v>
      </c>
      <c r="E43" s="480"/>
      <c r="F43" s="480"/>
      <c r="G43" s="480"/>
      <c r="H43" s="480"/>
      <c r="I43" s="483">
        <f>SÖZLEŞME!$K$17</f>
        <v>0</v>
      </c>
      <c r="J43" s="483"/>
      <c r="K43" s="483"/>
      <c r="L43" s="497" t="s">
        <v>314</v>
      </c>
      <c r="M43" s="497"/>
      <c r="N43" s="497"/>
      <c r="O43" s="497"/>
      <c r="P43" s="497"/>
      <c r="Q43" s="499">
        <v>0</v>
      </c>
      <c r="R43" s="499"/>
      <c r="S43" s="499"/>
      <c r="T43" s="499"/>
      <c r="U43" s="314"/>
      <c r="V43" s="315"/>
    </row>
    <row r="44" spans="2:22" s="307" customFormat="1" ht="15.75" customHeight="1">
      <c r="B44" s="308"/>
      <c r="C44" s="309"/>
      <c r="D44" s="480" t="s">
        <v>288</v>
      </c>
      <c r="E44" s="480"/>
      <c r="F44" s="480"/>
      <c r="G44" s="480"/>
      <c r="H44" s="480"/>
      <c r="I44" s="481"/>
      <c r="J44" s="481"/>
      <c r="K44" s="481"/>
      <c r="L44" s="497" t="s">
        <v>315</v>
      </c>
      <c r="M44" s="497"/>
      <c r="N44" s="497"/>
      <c r="O44" s="497"/>
      <c r="P44" s="497"/>
      <c r="Q44" s="499">
        <v>0</v>
      </c>
      <c r="R44" s="499"/>
      <c r="S44" s="499"/>
      <c r="T44" s="499"/>
      <c r="U44" s="314"/>
      <c r="V44" s="315"/>
    </row>
    <row r="45" spans="2:22" s="307" customFormat="1" ht="15.75" customHeight="1">
      <c r="B45" s="308"/>
      <c r="C45" s="309"/>
      <c r="D45" s="480" t="s">
        <v>13</v>
      </c>
      <c r="E45" s="480"/>
      <c r="F45" s="480"/>
      <c r="G45" s="480"/>
      <c r="H45" s="480"/>
      <c r="I45" s="483">
        <f>SÖZLEŞME!$R$17</f>
        <v>0</v>
      </c>
      <c r="J45" s="483"/>
      <c r="K45" s="483"/>
      <c r="L45" s="497" t="s">
        <v>316</v>
      </c>
      <c r="M45" s="497"/>
      <c r="N45" s="497"/>
      <c r="O45" s="497"/>
      <c r="P45" s="497"/>
      <c r="Q45" s="499">
        <v>0</v>
      </c>
      <c r="R45" s="499"/>
      <c r="S45" s="499"/>
      <c r="T45" s="499"/>
      <c r="U45" s="314"/>
      <c r="V45" s="315"/>
    </row>
    <row r="46" spans="2:22" s="307" customFormat="1" ht="15.75" customHeight="1">
      <c r="B46" s="308"/>
      <c r="C46" s="309"/>
      <c r="D46" s="480" t="s">
        <v>14</v>
      </c>
      <c r="E46" s="480"/>
      <c r="F46" s="480"/>
      <c r="G46" s="480"/>
      <c r="H46" s="480"/>
      <c r="I46" s="487">
        <f>SÖZLEŞME!$AA$17</f>
        <v>0</v>
      </c>
      <c r="J46" s="487"/>
      <c r="K46" s="487"/>
      <c r="L46" s="497" t="s">
        <v>317</v>
      </c>
      <c r="M46" s="497"/>
      <c r="N46" s="497"/>
      <c r="O46" s="497"/>
      <c r="P46" s="497"/>
      <c r="Q46" s="499">
        <v>0</v>
      </c>
      <c r="R46" s="499"/>
      <c r="S46" s="499"/>
      <c r="T46" s="499"/>
      <c r="U46" s="314"/>
      <c r="V46" s="315"/>
    </row>
    <row r="47" spans="2:22" s="307" customFormat="1" ht="15.75" customHeight="1">
      <c r="B47" s="308"/>
      <c r="C47" s="309"/>
      <c r="D47" s="480" t="s">
        <v>15</v>
      </c>
      <c r="E47" s="480"/>
      <c r="F47" s="480"/>
      <c r="G47" s="480"/>
      <c r="H47" s="480"/>
      <c r="I47" s="483">
        <f>SÖZLEŞME!$AF$17</f>
        <v>0</v>
      </c>
      <c r="J47" s="483"/>
      <c r="K47" s="483"/>
      <c r="L47" s="497" t="s">
        <v>318</v>
      </c>
      <c r="M47" s="497"/>
      <c r="N47" s="497"/>
      <c r="O47" s="497"/>
      <c r="P47" s="497"/>
      <c r="Q47" s="499">
        <v>0</v>
      </c>
      <c r="R47" s="499"/>
      <c r="S47" s="499"/>
      <c r="T47" s="499"/>
      <c r="U47" s="314"/>
      <c r="V47" s="315"/>
    </row>
    <row r="48" spans="2:22" s="307" customFormat="1" ht="15.75" customHeight="1">
      <c r="B48" s="308"/>
      <c r="C48" s="309"/>
      <c r="D48" s="480" t="s">
        <v>16</v>
      </c>
      <c r="E48" s="480"/>
      <c r="F48" s="480"/>
      <c r="G48" s="480"/>
      <c r="H48" s="480"/>
      <c r="I48" s="487">
        <f>SÖZLEŞME!$AJ$17</f>
        <v>0</v>
      </c>
      <c r="J48" s="487"/>
      <c r="K48" s="487"/>
      <c r="L48" s="497" t="s">
        <v>319</v>
      </c>
      <c r="M48" s="497"/>
      <c r="N48" s="497"/>
      <c r="O48" s="497"/>
      <c r="P48" s="497"/>
      <c r="Q48" s="499">
        <v>0</v>
      </c>
      <c r="R48" s="499"/>
      <c r="S48" s="499"/>
      <c r="T48" s="499"/>
      <c r="U48" s="314"/>
      <c r="V48" s="315"/>
    </row>
    <row r="49" spans="2:22" s="307" customFormat="1" ht="15.75" customHeight="1">
      <c r="B49" s="308"/>
      <c r="C49" s="309"/>
      <c r="D49" s="480" t="s">
        <v>294</v>
      </c>
      <c r="E49" s="480"/>
      <c r="F49" s="480"/>
      <c r="G49" s="480"/>
      <c r="H49" s="480"/>
      <c r="I49" s="490" t="s">
        <v>320</v>
      </c>
      <c r="J49" s="490"/>
      <c r="K49" s="490"/>
      <c r="L49" s="497" t="s">
        <v>321</v>
      </c>
      <c r="M49" s="497"/>
      <c r="N49" s="497"/>
      <c r="O49" s="497"/>
      <c r="P49" s="497"/>
      <c r="Q49" s="499">
        <v>0</v>
      </c>
      <c r="R49" s="499"/>
      <c r="S49" s="499"/>
      <c r="T49" s="499"/>
      <c r="U49" s="314"/>
      <c r="V49" s="315"/>
    </row>
    <row r="50" spans="2:22" s="307" customFormat="1" ht="15.75" customHeight="1">
      <c r="B50" s="308"/>
      <c r="C50" s="309"/>
      <c r="D50" s="480" t="s">
        <v>322</v>
      </c>
      <c r="E50" s="480"/>
      <c r="F50" s="480"/>
      <c r="G50" s="480"/>
      <c r="H50" s="480"/>
      <c r="I50" s="483" t="str">
        <f>SÖZLEŞME!B27</f>
        <v>Konut </v>
      </c>
      <c r="J50" s="483"/>
      <c r="K50" s="483"/>
      <c r="L50" s="500"/>
      <c r="M50" s="500"/>
      <c r="N50" s="500"/>
      <c r="O50" s="500"/>
      <c r="P50" s="500"/>
      <c r="Q50" s="366"/>
      <c r="R50" s="366"/>
      <c r="S50" s="366"/>
      <c r="T50" s="345"/>
      <c r="U50" s="314"/>
      <c r="V50" s="315"/>
    </row>
    <row r="51" spans="2:22" s="307" customFormat="1" ht="4.5" customHeight="1">
      <c r="B51" s="308"/>
      <c r="C51" s="309"/>
      <c r="D51" s="341"/>
      <c r="E51" s="342"/>
      <c r="F51" s="318"/>
      <c r="G51" s="318"/>
      <c r="H51" s="318"/>
      <c r="I51" s="318"/>
      <c r="J51" s="318"/>
      <c r="K51" s="367"/>
      <c r="L51" s="343"/>
      <c r="M51" s="343"/>
      <c r="N51" s="343"/>
      <c r="O51" s="344"/>
      <c r="P51" s="344"/>
      <c r="Q51" s="344"/>
      <c r="R51" s="344"/>
      <c r="S51" s="344"/>
      <c r="T51" s="345"/>
      <c r="U51" s="314"/>
      <c r="V51" s="315"/>
    </row>
    <row r="52" spans="2:22" ht="12.75">
      <c r="B52" s="286"/>
      <c r="C52" s="291"/>
      <c r="D52" s="292"/>
      <c r="E52" s="292"/>
      <c r="F52" s="292"/>
      <c r="G52" s="292"/>
      <c r="H52" s="292"/>
      <c r="I52" s="292"/>
      <c r="J52" s="292"/>
      <c r="K52" s="292"/>
      <c r="L52" s="324"/>
      <c r="M52" s="324"/>
      <c r="N52" s="324"/>
      <c r="O52" s="324"/>
      <c r="P52" s="324"/>
      <c r="Q52" s="324"/>
      <c r="R52" s="324"/>
      <c r="S52" s="324"/>
      <c r="T52" s="324"/>
      <c r="U52" s="294"/>
      <c r="V52" s="290"/>
    </row>
    <row r="53" spans="2:22" ht="12.75">
      <c r="B53" s="286"/>
      <c r="C53" s="291"/>
      <c r="D53" s="292"/>
      <c r="E53" s="292"/>
      <c r="F53" s="292"/>
      <c r="G53" s="292"/>
      <c r="H53" s="292"/>
      <c r="I53" s="292"/>
      <c r="J53" s="292"/>
      <c r="K53" s="292"/>
      <c r="L53" s="324"/>
      <c r="M53" s="324"/>
      <c r="N53" s="324"/>
      <c r="O53" s="324"/>
      <c r="P53" s="324"/>
      <c r="Q53" s="324"/>
      <c r="R53" s="324"/>
      <c r="S53" s="324"/>
      <c r="T53" s="324"/>
      <c r="U53" s="294"/>
      <c r="V53" s="290"/>
    </row>
    <row r="54" spans="2:22" s="346" customFormat="1" ht="12.75">
      <c r="B54" s="347"/>
      <c r="C54" s="348"/>
      <c r="D54" s="349" t="s">
        <v>297</v>
      </c>
      <c r="E54" s="350"/>
      <c r="F54" s="350"/>
      <c r="G54" s="350"/>
      <c r="H54" s="350"/>
      <c r="I54" s="350"/>
      <c r="J54" s="350"/>
      <c r="K54" s="350"/>
      <c r="L54" s="350"/>
      <c r="M54" s="350"/>
      <c r="N54" s="350"/>
      <c r="O54" s="350"/>
      <c r="P54" s="350"/>
      <c r="Q54" s="350"/>
      <c r="R54" s="350"/>
      <c r="S54" s="350"/>
      <c r="T54" s="350"/>
      <c r="U54" s="351"/>
      <c r="V54" s="352"/>
    </row>
    <row r="55" spans="2:22" s="346" customFormat="1" ht="12.75">
      <c r="B55" s="347"/>
      <c r="C55" s="348"/>
      <c r="D55" s="349" t="s">
        <v>298</v>
      </c>
      <c r="E55" s="350"/>
      <c r="F55" s="350"/>
      <c r="G55" s="350"/>
      <c r="H55" s="350"/>
      <c r="I55" s="350"/>
      <c r="J55" s="350"/>
      <c r="K55" s="350"/>
      <c r="L55" s="350"/>
      <c r="M55" s="350"/>
      <c r="N55" s="350"/>
      <c r="O55" s="350"/>
      <c r="P55" s="350"/>
      <c r="Q55" s="350"/>
      <c r="R55" s="350"/>
      <c r="S55" s="350"/>
      <c r="T55" s="350"/>
      <c r="U55" s="351"/>
      <c r="V55" s="352"/>
    </row>
    <row r="56" spans="2:22" s="346" customFormat="1" ht="12.75">
      <c r="B56" s="347"/>
      <c r="C56" s="348"/>
      <c r="D56" s="349" t="s">
        <v>299</v>
      </c>
      <c r="E56" s="350"/>
      <c r="F56" s="350"/>
      <c r="G56" s="350"/>
      <c r="H56" s="350"/>
      <c r="I56" s="350"/>
      <c r="J56" s="350"/>
      <c r="K56" s="350"/>
      <c r="L56" s="350"/>
      <c r="M56" s="350"/>
      <c r="N56" s="350"/>
      <c r="O56" s="350"/>
      <c r="P56" s="350"/>
      <c r="Q56" s="350"/>
      <c r="R56" s="350"/>
      <c r="S56" s="350"/>
      <c r="T56" s="350"/>
      <c r="U56" s="351"/>
      <c r="V56" s="352"/>
    </row>
    <row r="57" spans="2:22" s="346" customFormat="1" ht="12.75">
      <c r="B57" s="347"/>
      <c r="C57" s="348"/>
      <c r="D57" s="349" t="s">
        <v>300</v>
      </c>
      <c r="E57" s="350"/>
      <c r="F57" s="350"/>
      <c r="G57" s="350"/>
      <c r="H57" s="350"/>
      <c r="I57" s="350"/>
      <c r="J57" s="350"/>
      <c r="K57" s="350"/>
      <c r="L57" s="350"/>
      <c r="M57" s="350"/>
      <c r="N57" s="350"/>
      <c r="O57" s="350"/>
      <c r="P57" s="350"/>
      <c r="Q57" s="350"/>
      <c r="R57" s="350"/>
      <c r="S57" s="350"/>
      <c r="T57" s="350"/>
      <c r="U57" s="351"/>
      <c r="V57" s="352"/>
    </row>
    <row r="58" spans="2:22" s="346" customFormat="1" ht="12.75">
      <c r="B58" s="347"/>
      <c r="C58" s="348"/>
      <c r="D58" s="349"/>
      <c r="E58" s="350"/>
      <c r="F58" s="350"/>
      <c r="G58" s="350"/>
      <c r="H58" s="350"/>
      <c r="I58" s="350"/>
      <c r="J58" s="350"/>
      <c r="K58" s="350"/>
      <c r="L58" s="350"/>
      <c r="M58" s="350"/>
      <c r="N58" s="350"/>
      <c r="O58" s="350"/>
      <c r="P58" s="350"/>
      <c r="Q58" s="350"/>
      <c r="R58" s="350"/>
      <c r="S58" s="350"/>
      <c r="T58" s="350"/>
      <c r="U58" s="351"/>
      <c r="V58" s="352"/>
    </row>
    <row r="59" spans="2:22" s="346" customFormat="1" ht="12.75">
      <c r="B59" s="347"/>
      <c r="C59" s="348"/>
      <c r="D59" s="349" t="s">
        <v>301</v>
      </c>
      <c r="E59" s="350"/>
      <c r="F59" s="350"/>
      <c r="G59" s="350"/>
      <c r="H59" s="350"/>
      <c r="I59" s="350"/>
      <c r="J59" s="350"/>
      <c r="K59" s="350"/>
      <c r="L59" s="350"/>
      <c r="M59" s="350"/>
      <c r="N59" s="350"/>
      <c r="O59" s="350"/>
      <c r="P59" s="350"/>
      <c r="Q59" s="350"/>
      <c r="R59" s="350"/>
      <c r="S59" s="350"/>
      <c r="T59" s="350"/>
      <c r="U59" s="351"/>
      <c r="V59" s="352"/>
    </row>
    <row r="60" spans="2:22" s="346" customFormat="1" ht="12.75">
      <c r="B60" s="347"/>
      <c r="C60" s="348"/>
      <c r="D60" s="349" t="s">
        <v>302</v>
      </c>
      <c r="E60" s="350"/>
      <c r="F60" s="350"/>
      <c r="G60" s="350"/>
      <c r="H60" s="350"/>
      <c r="I60" s="350"/>
      <c r="J60" s="350"/>
      <c r="K60" s="350"/>
      <c r="L60" s="350"/>
      <c r="M60" s="350"/>
      <c r="N60" s="350"/>
      <c r="O60" s="350"/>
      <c r="P60" s="350"/>
      <c r="Q60" s="350"/>
      <c r="R60" s="350"/>
      <c r="S60" s="350"/>
      <c r="T60" s="350"/>
      <c r="U60" s="351"/>
      <c r="V60" s="352"/>
    </row>
    <row r="61" spans="2:22" s="346" customFormat="1" ht="12.75">
      <c r="B61" s="347"/>
      <c r="C61" s="348"/>
      <c r="D61" s="350"/>
      <c r="E61" s="350"/>
      <c r="F61" s="350"/>
      <c r="G61" s="350"/>
      <c r="H61" s="350"/>
      <c r="I61" s="350"/>
      <c r="J61" s="350"/>
      <c r="K61" s="350"/>
      <c r="L61" s="350"/>
      <c r="M61" s="350"/>
      <c r="N61" s="350"/>
      <c r="O61" s="350"/>
      <c r="P61" s="350"/>
      <c r="Q61" s="350"/>
      <c r="R61" s="350"/>
      <c r="S61" s="350"/>
      <c r="T61" s="350"/>
      <c r="U61" s="351"/>
      <c r="V61" s="352"/>
    </row>
    <row r="62" spans="2:22" s="346" customFormat="1" ht="12.75">
      <c r="B62" s="347"/>
      <c r="C62" s="348"/>
      <c r="D62" s="350"/>
      <c r="E62" s="350"/>
      <c r="F62" s="350"/>
      <c r="G62" s="350"/>
      <c r="H62" s="350"/>
      <c r="I62" s="350"/>
      <c r="J62" s="350"/>
      <c r="K62" s="350"/>
      <c r="L62" s="350"/>
      <c r="M62" s="350"/>
      <c r="N62" s="350"/>
      <c r="O62" s="350"/>
      <c r="P62" s="350"/>
      <c r="Q62" s="350"/>
      <c r="R62" s="350"/>
      <c r="S62" s="350"/>
      <c r="T62" s="350"/>
      <c r="U62" s="351"/>
      <c r="V62" s="352"/>
    </row>
    <row r="63" spans="2:22" ht="12.75">
      <c r="B63" s="286"/>
      <c r="C63" s="291"/>
      <c r="D63" s="353"/>
      <c r="E63" s="353"/>
      <c r="F63" s="353"/>
      <c r="G63" s="353"/>
      <c r="H63" s="353"/>
      <c r="I63" s="353"/>
      <c r="J63" s="353"/>
      <c r="K63" s="353"/>
      <c r="L63" s="353"/>
      <c r="M63" s="353"/>
      <c r="N63" s="353"/>
      <c r="O63" s="353"/>
      <c r="P63" s="353"/>
      <c r="Q63" s="353"/>
      <c r="R63" s="353"/>
      <c r="S63" s="353"/>
      <c r="T63" s="292"/>
      <c r="U63" s="294"/>
      <c r="V63" s="290"/>
    </row>
    <row r="64" spans="2:22" ht="12.75">
      <c r="B64" s="286"/>
      <c r="C64" s="291"/>
      <c r="D64" s="353"/>
      <c r="E64" s="353"/>
      <c r="F64" s="353"/>
      <c r="G64" s="353"/>
      <c r="H64" s="353"/>
      <c r="I64" s="353"/>
      <c r="J64" s="353"/>
      <c r="K64" s="353"/>
      <c r="L64" s="353"/>
      <c r="M64" s="353"/>
      <c r="N64" s="353"/>
      <c r="O64" s="353"/>
      <c r="P64" s="353"/>
      <c r="Q64" s="353"/>
      <c r="R64" s="353"/>
      <c r="S64" s="353"/>
      <c r="T64" s="292"/>
      <c r="U64" s="294"/>
      <c r="V64" s="290"/>
    </row>
    <row r="65" spans="2:22" ht="12.75">
      <c r="B65" s="286"/>
      <c r="C65" s="291"/>
      <c r="D65" s="292"/>
      <c r="E65" s="292"/>
      <c r="F65" s="292"/>
      <c r="G65" s="292"/>
      <c r="H65" s="292"/>
      <c r="I65" s="292"/>
      <c r="J65" s="493" t="s">
        <v>303</v>
      </c>
      <c r="K65" s="493"/>
      <c r="L65" s="493"/>
      <c r="M65" s="493"/>
      <c r="N65" s="493"/>
      <c r="O65" s="297"/>
      <c r="P65" s="297"/>
      <c r="Q65" s="292"/>
      <c r="R65" s="292"/>
      <c r="S65" s="292"/>
      <c r="T65" s="292"/>
      <c r="U65" s="294"/>
      <c r="V65" s="290"/>
    </row>
    <row r="66" spans="2:22" ht="12.75">
      <c r="B66" s="286"/>
      <c r="C66" s="291"/>
      <c r="D66" s="292"/>
      <c r="E66" s="292"/>
      <c r="F66" s="292"/>
      <c r="G66" s="292"/>
      <c r="H66" s="292"/>
      <c r="I66" s="292"/>
      <c r="J66" s="494" t="s">
        <v>304</v>
      </c>
      <c r="K66" s="494"/>
      <c r="L66" s="494"/>
      <c r="M66" s="494"/>
      <c r="N66" s="494"/>
      <c r="O66" s="356"/>
      <c r="P66" s="356"/>
      <c r="Q66" s="292"/>
      <c r="R66" s="292"/>
      <c r="S66" s="292"/>
      <c r="T66" s="292"/>
      <c r="U66" s="294"/>
      <c r="V66" s="290"/>
    </row>
    <row r="67" spans="2:22" ht="12.75">
      <c r="B67" s="286"/>
      <c r="C67" s="291"/>
      <c r="D67" s="292"/>
      <c r="E67" s="292"/>
      <c r="F67" s="292"/>
      <c r="G67" s="292"/>
      <c r="H67" s="292"/>
      <c r="I67" s="292"/>
      <c r="J67" s="493" t="s">
        <v>96</v>
      </c>
      <c r="K67" s="493"/>
      <c r="L67" s="297"/>
      <c r="M67" s="297"/>
      <c r="N67" s="297"/>
      <c r="O67" s="297"/>
      <c r="P67" s="297"/>
      <c r="Q67" s="292"/>
      <c r="R67" s="292"/>
      <c r="S67" s="292"/>
      <c r="T67" s="292"/>
      <c r="U67" s="294"/>
      <c r="V67" s="290"/>
    </row>
    <row r="68" spans="2:22" ht="12.75">
      <c r="B68" s="286"/>
      <c r="C68" s="291"/>
      <c r="D68" s="292"/>
      <c r="E68" s="292"/>
      <c r="F68" s="292"/>
      <c r="G68" s="292"/>
      <c r="H68" s="292"/>
      <c r="I68" s="292"/>
      <c r="J68" s="493" t="s">
        <v>97</v>
      </c>
      <c r="K68" s="493"/>
      <c r="L68" s="297"/>
      <c r="M68" s="292"/>
      <c r="N68" s="292"/>
      <c r="O68" s="292"/>
      <c r="P68" s="292"/>
      <c r="Q68" s="292"/>
      <c r="R68" s="292"/>
      <c r="S68" s="292"/>
      <c r="T68" s="292"/>
      <c r="U68" s="294"/>
      <c r="V68" s="290"/>
    </row>
    <row r="69" spans="2:22" ht="12.75">
      <c r="B69" s="286"/>
      <c r="C69" s="291"/>
      <c r="D69" s="292"/>
      <c r="E69" s="292"/>
      <c r="F69" s="292"/>
      <c r="G69" s="292"/>
      <c r="H69" s="292"/>
      <c r="I69" s="292"/>
      <c r="J69" s="493" t="s">
        <v>305</v>
      </c>
      <c r="K69" s="493"/>
      <c r="L69" s="297"/>
      <c r="M69" s="292"/>
      <c r="N69" s="292"/>
      <c r="O69" s="292"/>
      <c r="P69" s="292"/>
      <c r="Q69" s="292"/>
      <c r="R69" s="292"/>
      <c r="S69" s="292"/>
      <c r="T69" s="292"/>
      <c r="U69" s="294"/>
      <c r="V69" s="290"/>
    </row>
    <row r="70" spans="2:22" ht="12.75">
      <c r="B70" s="286"/>
      <c r="C70" s="291"/>
      <c r="D70" s="292"/>
      <c r="E70" s="292"/>
      <c r="F70" s="292"/>
      <c r="G70" s="292"/>
      <c r="H70" s="292"/>
      <c r="I70" s="292"/>
      <c r="J70" s="354"/>
      <c r="K70" s="354"/>
      <c r="L70" s="354"/>
      <c r="M70" s="292"/>
      <c r="N70" s="292"/>
      <c r="O70" s="292"/>
      <c r="P70" s="292"/>
      <c r="Q70" s="292"/>
      <c r="R70" s="292"/>
      <c r="S70" s="292"/>
      <c r="T70" s="292"/>
      <c r="U70" s="294"/>
      <c r="V70" s="290"/>
    </row>
    <row r="71" spans="2:22" ht="12.75">
      <c r="B71" s="286"/>
      <c r="C71" s="291"/>
      <c r="D71" s="292"/>
      <c r="E71" s="292"/>
      <c r="F71" s="292"/>
      <c r="G71" s="292"/>
      <c r="H71" s="292"/>
      <c r="I71" s="292"/>
      <c r="J71" s="354"/>
      <c r="K71" s="354"/>
      <c r="L71" s="354"/>
      <c r="M71" s="292"/>
      <c r="N71" s="292"/>
      <c r="O71" s="292"/>
      <c r="P71" s="292"/>
      <c r="Q71" s="292"/>
      <c r="R71" s="292"/>
      <c r="S71" s="292"/>
      <c r="T71" s="292"/>
      <c r="U71" s="294"/>
      <c r="V71" s="290"/>
    </row>
    <row r="72" spans="2:22" ht="12.75">
      <c r="B72" s="286"/>
      <c r="C72" s="291"/>
      <c r="D72" s="292"/>
      <c r="E72" s="292"/>
      <c r="F72" s="292"/>
      <c r="G72" s="292"/>
      <c r="H72" s="354"/>
      <c r="I72" s="354"/>
      <c r="J72" s="354"/>
      <c r="K72" s="292"/>
      <c r="L72" s="292"/>
      <c r="M72" s="292"/>
      <c r="N72" s="292"/>
      <c r="O72" s="292"/>
      <c r="P72" s="292"/>
      <c r="Q72" s="292"/>
      <c r="R72" s="292"/>
      <c r="S72" s="292"/>
      <c r="T72" s="292"/>
      <c r="U72" s="294"/>
      <c r="V72" s="290"/>
    </row>
    <row r="73" spans="2:22" ht="12.75">
      <c r="B73" s="286"/>
      <c r="C73" s="291"/>
      <c r="D73" s="292"/>
      <c r="E73" s="292"/>
      <c r="F73" s="292"/>
      <c r="G73" s="354"/>
      <c r="H73" s="354"/>
      <c r="I73" s="354"/>
      <c r="J73" s="292"/>
      <c r="K73" s="292"/>
      <c r="L73" s="292"/>
      <c r="M73" s="292"/>
      <c r="N73" s="292"/>
      <c r="O73" s="292"/>
      <c r="P73" s="292"/>
      <c r="Q73" s="292"/>
      <c r="R73" s="292"/>
      <c r="S73" s="292"/>
      <c r="T73" s="292"/>
      <c r="U73" s="294"/>
      <c r="V73" s="290"/>
    </row>
    <row r="74" spans="2:22" ht="12.75">
      <c r="B74" s="286"/>
      <c r="C74" s="291"/>
      <c r="D74" s="292"/>
      <c r="E74" s="292"/>
      <c r="F74" s="292"/>
      <c r="G74" s="354"/>
      <c r="H74" s="354"/>
      <c r="I74" s="354"/>
      <c r="J74" s="292"/>
      <c r="K74" s="292"/>
      <c r="L74" s="292"/>
      <c r="M74" s="292"/>
      <c r="N74" s="292"/>
      <c r="O74" s="292"/>
      <c r="P74" s="292"/>
      <c r="Q74" s="292"/>
      <c r="R74" s="292"/>
      <c r="S74" s="292"/>
      <c r="T74" s="292"/>
      <c r="U74" s="294"/>
      <c r="V74" s="290"/>
    </row>
    <row r="75" spans="2:22" ht="12.75">
      <c r="B75" s="286"/>
      <c r="C75" s="357"/>
      <c r="D75" s="358"/>
      <c r="E75" s="358"/>
      <c r="F75" s="358"/>
      <c r="G75" s="358"/>
      <c r="H75" s="358"/>
      <c r="I75" s="358"/>
      <c r="J75" s="358"/>
      <c r="K75" s="358"/>
      <c r="L75" s="358"/>
      <c r="M75" s="358"/>
      <c r="N75" s="358"/>
      <c r="O75" s="358"/>
      <c r="P75" s="358"/>
      <c r="Q75" s="358"/>
      <c r="R75" s="358"/>
      <c r="S75" s="358"/>
      <c r="T75" s="358"/>
      <c r="U75" s="359"/>
      <c r="V75" s="290"/>
    </row>
    <row r="76" spans="2:22" ht="7.5" customHeight="1">
      <c r="B76" s="360"/>
      <c r="C76" s="361"/>
      <c r="D76" s="361"/>
      <c r="E76" s="361"/>
      <c r="F76" s="361"/>
      <c r="G76" s="361"/>
      <c r="H76" s="361"/>
      <c r="I76" s="361"/>
      <c r="J76" s="361"/>
      <c r="K76" s="361"/>
      <c r="L76" s="361"/>
      <c r="M76" s="361"/>
      <c r="N76" s="361"/>
      <c r="O76" s="361"/>
      <c r="P76" s="361"/>
      <c r="Q76" s="361"/>
      <c r="R76" s="361"/>
      <c r="S76" s="361"/>
      <c r="T76" s="361"/>
      <c r="U76" s="361"/>
      <c r="V76" s="362"/>
    </row>
    <row r="77" spans="3:19" ht="12.75">
      <c r="C77" s="292"/>
      <c r="D77" s="292"/>
      <c r="E77" s="292"/>
      <c r="F77" s="292"/>
      <c r="G77" s="292"/>
      <c r="H77" s="292"/>
      <c r="I77" s="292"/>
      <c r="J77" s="292"/>
      <c r="K77" s="292"/>
      <c r="L77" s="292"/>
      <c r="M77" s="292"/>
      <c r="N77" s="292"/>
      <c r="O77" s="292"/>
      <c r="P77" s="292"/>
      <c r="Q77" s="292"/>
      <c r="R77" s="292"/>
      <c r="S77" s="292"/>
    </row>
  </sheetData>
  <mergeCells count="78">
    <mergeCell ref="J66:N66"/>
    <mergeCell ref="J67:K67"/>
    <mergeCell ref="J68:K68"/>
    <mergeCell ref="J69:K69"/>
    <mergeCell ref="D50:H50"/>
    <mergeCell ref="I50:K50"/>
    <mergeCell ref="L50:P50"/>
    <mergeCell ref="J65:N65"/>
    <mergeCell ref="D49:H49"/>
    <mergeCell ref="I49:K49"/>
    <mergeCell ref="L49:P49"/>
    <mergeCell ref="Q49:T49"/>
    <mergeCell ref="D48:H48"/>
    <mergeCell ref="I48:K48"/>
    <mergeCell ref="L48:P48"/>
    <mergeCell ref="Q48:T48"/>
    <mergeCell ref="D47:H47"/>
    <mergeCell ref="I47:K47"/>
    <mergeCell ref="L47:P47"/>
    <mergeCell ref="Q47:T47"/>
    <mergeCell ref="D46:H46"/>
    <mergeCell ref="I46:K46"/>
    <mergeCell ref="L46:P46"/>
    <mergeCell ref="Q46:T46"/>
    <mergeCell ref="D45:H45"/>
    <mergeCell ref="I45:K45"/>
    <mergeCell ref="L45:P45"/>
    <mergeCell ref="Q45:T45"/>
    <mergeCell ref="D44:H44"/>
    <mergeCell ref="I44:K44"/>
    <mergeCell ref="L44:P44"/>
    <mergeCell ref="Q44:T44"/>
    <mergeCell ref="D43:H43"/>
    <mergeCell ref="I43:K43"/>
    <mergeCell ref="L43:P43"/>
    <mergeCell ref="Q43:T43"/>
    <mergeCell ref="D42:H42"/>
    <mergeCell ref="I42:K42"/>
    <mergeCell ref="L42:P42"/>
    <mergeCell ref="Q42:T42"/>
    <mergeCell ref="D41:H41"/>
    <mergeCell ref="I41:K41"/>
    <mergeCell ref="L41:P41"/>
    <mergeCell ref="Q41:T41"/>
    <mergeCell ref="D40:H40"/>
    <mergeCell ref="I40:K40"/>
    <mergeCell ref="L40:P40"/>
    <mergeCell ref="Q40:T40"/>
    <mergeCell ref="D38:H38"/>
    <mergeCell ref="I38:T38"/>
    <mergeCell ref="D39:H39"/>
    <mergeCell ref="I39:T39"/>
    <mergeCell ref="D36:H36"/>
    <mergeCell ref="I36:T36"/>
    <mergeCell ref="D37:H37"/>
    <mergeCell ref="I37:T37"/>
    <mergeCell ref="D29:K29"/>
    <mergeCell ref="L29:T29"/>
    <mergeCell ref="D35:H35"/>
    <mergeCell ref="I35:T35"/>
    <mergeCell ref="D27:K27"/>
    <mergeCell ref="L27:T27"/>
    <mergeCell ref="D28:K28"/>
    <mergeCell ref="L28:T28"/>
    <mergeCell ref="D25:K25"/>
    <mergeCell ref="L25:T25"/>
    <mergeCell ref="D26:K26"/>
    <mergeCell ref="L26:T26"/>
    <mergeCell ref="I10:L11"/>
    <mergeCell ref="D18:T18"/>
    <mergeCell ref="E19:T19"/>
    <mergeCell ref="D24:K24"/>
    <mergeCell ref="L24:T24"/>
    <mergeCell ref="I6:J7"/>
    <mergeCell ref="P6:Q6"/>
    <mergeCell ref="P7:Q7"/>
    <mergeCell ref="I8:O9"/>
    <mergeCell ref="P8:Q8"/>
  </mergeCells>
  <printOptions/>
  <pageMargins left="0.5" right="0.1701388888888889" top="0.37986111111111115" bottom="0.3902777777777778" header="0.5118055555555556" footer="0.5118055555555556"/>
  <pageSetup cellComments="atEnd" fitToHeight="1" fitToWidth="1" horizontalDpi="300" verticalDpi="300" orientation="portrait" paperSize="9"/>
  <drawing r:id="rId4"/>
  <legacyDrawing r:id="rId3"/>
  <oleObjects>
    <oleObject progId="opendocument.WriterDocument.1" shapeId="48321930" r:id="rId1"/>
    <oleObject progId="opendocument.WriterDocument.1" shapeId="48321996" r:id="rId2"/>
  </oleObjects>
</worksheet>
</file>

<file path=xl/worksheets/sheet12.xml><?xml version="1.0" encoding="utf-8"?>
<worksheet xmlns="http://schemas.openxmlformats.org/spreadsheetml/2006/main" xmlns:r="http://schemas.openxmlformats.org/officeDocument/2006/relationships">
  <sheetPr>
    <pageSetUpPr fitToPage="1"/>
  </sheetPr>
  <dimension ref="A3:IV77"/>
  <sheetViews>
    <sheetView showZeros="0" workbookViewId="0" topLeftCell="A40">
      <selection activeCell="S47" sqref="S47"/>
    </sheetView>
  </sheetViews>
  <sheetFormatPr defaultColWidth="9.140625" defaultRowHeight="12.75"/>
  <cols>
    <col min="1" max="1" width="0.85546875" style="282" customWidth="1"/>
    <col min="2" max="3" width="1.28515625" style="282" customWidth="1"/>
    <col min="4" max="4" width="1.1484375" style="282" customWidth="1"/>
    <col min="5" max="5" width="2.421875" style="282" customWidth="1"/>
    <col min="6" max="6" width="6.140625" style="282" customWidth="1"/>
    <col min="7" max="7" width="5.57421875" style="282" customWidth="1"/>
    <col min="8" max="8" width="6.140625" style="282" customWidth="1"/>
    <col min="9" max="9" width="9.00390625" style="282" customWidth="1"/>
    <col min="10" max="10" width="13.7109375" style="282" customWidth="1"/>
    <col min="11" max="11" width="5.140625" style="282" customWidth="1"/>
    <col min="12" max="12" width="6.421875" style="282" customWidth="1"/>
    <col min="13" max="13" width="7.00390625" style="282" customWidth="1"/>
    <col min="14" max="14" width="8.00390625" style="282" customWidth="1"/>
    <col min="15" max="15" width="12.8515625" style="282" customWidth="1"/>
    <col min="16" max="16" width="13.421875" style="282" customWidth="1"/>
    <col min="17" max="17" width="6.140625" style="282" customWidth="1"/>
    <col min="18" max="18" width="6.28125" style="282" customWidth="1"/>
    <col min="19" max="19" width="6.57421875" style="282" customWidth="1"/>
    <col min="20" max="20" width="7.57421875" style="282" customWidth="1"/>
    <col min="21" max="21" width="2.7109375" style="282" customWidth="1"/>
    <col min="22" max="22" width="1.28515625" style="282" customWidth="1"/>
    <col min="23" max="16384" width="6.140625" style="282" customWidth="1"/>
  </cols>
  <sheetData>
    <row r="1" ht="7.5" customHeight="1"/>
    <row r="2" ht="4.5" customHeight="1"/>
    <row r="3" spans="2:22" ht="7.5" customHeight="1">
      <c r="B3" s="283"/>
      <c r="C3" s="284"/>
      <c r="D3" s="284"/>
      <c r="E3" s="284"/>
      <c r="F3" s="284"/>
      <c r="G3" s="284"/>
      <c r="H3" s="284"/>
      <c r="I3" s="284"/>
      <c r="J3" s="284"/>
      <c r="K3" s="284"/>
      <c r="L3" s="284"/>
      <c r="M3" s="284"/>
      <c r="N3" s="284"/>
      <c r="O3" s="284"/>
      <c r="P3" s="284"/>
      <c r="Q3" s="284"/>
      <c r="R3" s="284"/>
      <c r="S3" s="284"/>
      <c r="T3" s="284"/>
      <c r="U3" s="284"/>
      <c r="V3" s="285"/>
    </row>
    <row r="4" spans="2:22" ht="12.75">
      <c r="B4" s="286"/>
      <c r="C4" s="287"/>
      <c r="D4" s="288"/>
      <c r="E4" s="288"/>
      <c r="F4" s="288"/>
      <c r="G4" s="288"/>
      <c r="H4" s="288"/>
      <c r="I4" s="288"/>
      <c r="J4" s="288"/>
      <c r="K4" s="288"/>
      <c r="L4" s="288"/>
      <c r="M4" s="288"/>
      <c r="N4" s="288"/>
      <c r="O4" s="288"/>
      <c r="P4" s="288"/>
      <c r="Q4" s="288"/>
      <c r="R4" s="288"/>
      <c r="S4" s="288"/>
      <c r="T4" s="288"/>
      <c r="U4" s="289"/>
      <c r="V4" s="290"/>
    </row>
    <row r="5" spans="2:22" ht="18" customHeight="1">
      <c r="B5" s="286"/>
      <c r="C5" s="291"/>
      <c r="D5" s="292"/>
      <c r="E5" s="292"/>
      <c r="F5" s="292"/>
      <c r="G5" s="292"/>
      <c r="H5" s="292"/>
      <c r="I5" s="292"/>
      <c r="J5" s="292"/>
      <c r="K5" s="292"/>
      <c r="L5" s="363" t="s">
        <v>306</v>
      </c>
      <c r="M5" s="292"/>
      <c r="N5" s="292"/>
      <c r="O5" s="292"/>
      <c r="P5" s="292"/>
      <c r="Q5" s="292"/>
      <c r="R5" s="292"/>
      <c r="S5" s="292"/>
      <c r="T5" s="292"/>
      <c r="U5" s="294"/>
      <c r="V5" s="290"/>
    </row>
    <row r="6" spans="2:22" ht="15" customHeight="1">
      <c r="B6" s="286"/>
      <c r="C6" s="291"/>
      <c r="D6" s="292"/>
      <c r="E6" s="292"/>
      <c r="F6" s="292"/>
      <c r="G6" s="292"/>
      <c r="H6" s="292"/>
      <c r="I6" s="475" t="s">
        <v>258</v>
      </c>
      <c r="J6" s="475"/>
      <c r="K6" s="295"/>
      <c r="L6" s="296"/>
      <c r="M6" s="295"/>
      <c r="N6" s="297"/>
      <c r="O6" s="297"/>
      <c r="P6" s="476" t="s">
        <v>259</v>
      </c>
      <c r="Q6" s="476"/>
      <c r="R6" s="297"/>
      <c r="S6" s="292"/>
      <c r="T6" s="292"/>
      <c r="U6" s="294"/>
      <c r="V6" s="290"/>
    </row>
    <row r="7" spans="2:22" ht="15" customHeight="1">
      <c r="B7" s="286"/>
      <c r="C7" s="291"/>
      <c r="D7" s="292"/>
      <c r="E7" s="292"/>
      <c r="F7" s="292"/>
      <c r="G7" s="292"/>
      <c r="H7" s="292"/>
      <c r="I7" s="475"/>
      <c r="J7" s="475"/>
      <c r="K7" s="295"/>
      <c r="L7" s="295"/>
      <c r="M7" s="295"/>
      <c r="N7" s="297"/>
      <c r="O7" s="297"/>
      <c r="P7" s="476" t="s">
        <v>260</v>
      </c>
      <c r="Q7" s="476"/>
      <c r="R7" s="297"/>
      <c r="S7" s="292"/>
      <c r="T7" s="292"/>
      <c r="U7" s="294"/>
      <c r="V7" s="290"/>
    </row>
    <row r="8" spans="2:22" ht="12.75" customHeight="1">
      <c r="B8" s="286"/>
      <c r="C8" s="291"/>
      <c r="D8" s="292"/>
      <c r="E8" s="292"/>
      <c r="F8" s="292"/>
      <c r="G8" s="292"/>
      <c r="H8" s="292"/>
      <c r="I8" s="477" t="s">
        <v>261</v>
      </c>
      <c r="J8" s="477"/>
      <c r="K8" s="477"/>
      <c r="L8" s="477"/>
      <c r="M8" s="477"/>
      <c r="N8" s="477"/>
      <c r="O8" s="477"/>
      <c r="P8" s="476" t="s">
        <v>262</v>
      </c>
      <c r="Q8" s="476"/>
      <c r="R8" s="297"/>
      <c r="S8" s="292"/>
      <c r="T8" s="292"/>
      <c r="U8" s="294"/>
      <c r="V8" s="290"/>
    </row>
    <row r="9" spans="2:22" ht="10.5" customHeight="1">
      <c r="B9" s="286"/>
      <c r="C9" s="291"/>
      <c r="D9" s="292"/>
      <c r="E9" s="292"/>
      <c r="F9" s="292"/>
      <c r="G9" s="292"/>
      <c r="H9" s="292"/>
      <c r="I9" s="477"/>
      <c r="J9" s="477"/>
      <c r="K9" s="477"/>
      <c r="L9" s="477"/>
      <c r="M9" s="477"/>
      <c r="N9" s="477"/>
      <c r="O9" s="477"/>
      <c r="P9" s="292"/>
      <c r="Q9" s="292"/>
      <c r="R9" s="292"/>
      <c r="S9" s="292"/>
      <c r="T9" s="292"/>
      <c r="U9" s="294"/>
      <c r="V9" s="290"/>
    </row>
    <row r="10" spans="2:22" ht="10.5" customHeight="1">
      <c r="B10" s="286"/>
      <c r="C10" s="291"/>
      <c r="D10" s="292"/>
      <c r="E10" s="292"/>
      <c r="F10" s="292"/>
      <c r="G10" s="292"/>
      <c r="H10" s="292"/>
      <c r="I10" s="478" t="s">
        <v>263</v>
      </c>
      <c r="J10" s="478"/>
      <c r="K10" s="478"/>
      <c r="L10" s="478"/>
      <c r="M10" s="295"/>
      <c r="N10" s="298"/>
      <c r="O10" s="292"/>
      <c r="P10" s="292"/>
      <c r="Q10" s="292"/>
      <c r="R10" s="292"/>
      <c r="S10" s="292"/>
      <c r="T10" s="292"/>
      <c r="U10" s="294"/>
      <c r="V10" s="290"/>
    </row>
    <row r="11" spans="2:22" ht="10.5" customHeight="1">
      <c r="B11" s="286"/>
      <c r="C11" s="291"/>
      <c r="D11" s="292"/>
      <c r="E11" s="292"/>
      <c r="F11" s="292"/>
      <c r="G11" s="292"/>
      <c r="H11" s="292"/>
      <c r="I11" s="478"/>
      <c r="J11" s="478"/>
      <c r="K11" s="478"/>
      <c r="L11" s="478"/>
      <c r="M11" s="295"/>
      <c r="N11" s="298"/>
      <c r="O11" s="292"/>
      <c r="P11" s="292"/>
      <c r="Q11" s="292"/>
      <c r="R11" s="292"/>
      <c r="S11" s="292"/>
      <c r="T11" s="292"/>
      <c r="U11" s="294"/>
      <c r="V11" s="290"/>
    </row>
    <row r="12" spans="2:22" ht="9.75" customHeight="1">
      <c r="B12" s="286"/>
      <c r="C12" s="291"/>
      <c r="D12" s="292"/>
      <c r="E12" s="292"/>
      <c r="F12" s="292"/>
      <c r="G12" s="292"/>
      <c r="H12" s="292"/>
      <c r="I12" s="478"/>
      <c r="J12" s="478"/>
      <c r="K12" s="478"/>
      <c r="L12" s="478"/>
      <c r="M12" s="292"/>
      <c r="N12" s="292"/>
      <c r="O12" s="292"/>
      <c r="P12" s="292"/>
      <c r="Q12" s="292"/>
      <c r="R12" s="292"/>
      <c r="S12" s="292"/>
      <c r="T12" s="292"/>
      <c r="U12" s="294"/>
      <c r="V12" s="290"/>
    </row>
    <row r="13" spans="2:22" ht="12.75">
      <c r="B13" s="286"/>
      <c r="C13" s="291"/>
      <c r="D13" s="292"/>
      <c r="E13" s="292"/>
      <c r="F13" s="292" t="s">
        <v>264</v>
      </c>
      <c r="G13" s="292"/>
      <c r="H13" s="292"/>
      <c r="I13" s="299" t="s">
        <v>265</v>
      </c>
      <c r="J13" s="292"/>
      <c r="K13" s="292"/>
      <c r="L13" s="292"/>
      <c r="M13" s="292"/>
      <c r="N13" s="292"/>
      <c r="O13" s="292"/>
      <c r="P13" s="292"/>
      <c r="Q13" s="292"/>
      <c r="R13" s="292"/>
      <c r="S13" s="292"/>
      <c r="T13" s="292"/>
      <c r="U13" s="294"/>
      <c r="V13" s="290"/>
    </row>
    <row r="14" spans="1:256" ht="12.75" customHeight="1">
      <c r="A14"/>
      <c r="B14" s="4"/>
      <c r="C14" s="123"/>
      <c r="D14" s="11"/>
      <c r="E14" s="11"/>
      <c r="F14" s="11"/>
      <c r="G14" s="11"/>
      <c r="H14" s="11"/>
      <c r="I14" s="11" t="s">
        <v>266</v>
      </c>
      <c r="J14" s="11"/>
      <c r="K14" s="11"/>
      <c r="L14" s="11"/>
      <c r="M14" s="11"/>
      <c r="N14" s="11"/>
      <c r="O14" s="11"/>
      <c r="P14" s="11"/>
      <c r="Q14" s="11"/>
      <c r="R14" s="364"/>
      <c r="S14" s="365"/>
      <c r="T14" s="11"/>
      <c r="U14" s="122"/>
      <c r="V14" s="5"/>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c r="B15" s="4"/>
      <c r="C15" s="123"/>
      <c r="D15" s="11"/>
      <c r="E15" s="11"/>
      <c r="F15" s="11"/>
      <c r="G15" s="11"/>
      <c r="H15" s="11"/>
      <c r="I15" s="301" t="s">
        <v>267</v>
      </c>
      <c r="J15" s="11"/>
      <c r="K15" s="11"/>
      <c r="L15" s="11"/>
      <c r="M15" s="11"/>
      <c r="N15" s="11"/>
      <c r="O15" s="11"/>
      <c r="P15" s="11"/>
      <c r="Q15" s="11"/>
      <c r="R15" s="364"/>
      <c r="S15" s="365"/>
      <c r="T15" s="11"/>
      <c r="U15" s="122"/>
      <c r="V15" s="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9" customHeight="1">
      <c r="A16"/>
      <c r="B16" s="4"/>
      <c r="C16" s="123"/>
      <c r="D16" s="11"/>
      <c r="E16" s="11"/>
      <c r="F16" s="301"/>
      <c r="G16" s="11"/>
      <c r="H16" s="11"/>
      <c r="I16" s="301"/>
      <c r="J16" s="11"/>
      <c r="K16" s="11"/>
      <c r="L16" s="11"/>
      <c r="M16" s="11"/>
      <c r="N16" s="11"/>
      <c r="O16" s="11"/>
      <c r="P16" s="11"/>
      <c r="Q16" s="11"/>
      <c r="R16" s="364"/>
      <c r="S16" s="365"/>
      <c r="T16" s="11"/>
      <c r="U16" s="122"/>
      <c r="V16" s="5"/>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22" ht="11.25" customHeight="1">
      <c r="B17" s="286"/>
      <c r="C17" s="291"/>
      <c r="D17" s="292"/>
      <c r="E17" s="292"/>
      <c r="F17" s="292"/>
      <c r="G17" s="292"/>
      <c r="H17" s="292"/>
      <c r="I17" s="292"/>
      <c r="J17" s="292"/>
      <c r="K17" s="292"/>
      <c r="L17" s="292"/>
      <c r="M17" s="292"/>
      <c r="N17" s="292"/>
      <c r="O17" s="292"/>
      <c r="P17" s="292"/>
      <c r="Q17" s="292"/>
      <c r="R17" s="292"/>
      <c r="S17" s="302"/>
      <c r="T17" s="292"/>
      <c r="U17" s="294"/>
      <c r="V17" s="290"/>
    </row>
    <row r="18" spans="2:22" ht="20.25" customHeight="1">
      <c r="B18" s="286"/>
      <c r="C18" s="291"/>
      <c r="D18" s="496" t="s">
        <v>268</v>
      </c>
      <c r="E18" s="496"/>
      <c r="F18" s="496"/>
      <c r="G18" s="496"/>
      <c r="H18" s="496"/>
      <c r="I18" s="496"/>
      <c r="J18" s="496"/>
      <c r="K18" s="496"/>
      <c r="L18" s="496"/>
      <c r="M18" s="496"/>
      <c r="N18" s="496"/>
      <c r="O18" s="496"/>
      <c r="P18" s="496"/>
      <c r="Q18" s="496"/>
      <c r="R18" s="496"/>
      <c r="S18" s="496"/>
      <c r="T18" s="496"/>
      <c r="U18" s="294"/>
      <c r="V18" s="290"/>
    </row>
    <row r="19" spans="2:22" ht="20.25">
      <c r="B19" s="286"/>
      <c r="C19" s="291"/>
      <c r="D19" s="292"/>
      <c r="E19" s="496" t="s">
        <v>308</v>
      </c>
      <c r="F19" s="496"/>
      <c r="G19" s="496"/>
      <c r="H19" s="496"/>
      <c r="I19" s="496"/>
      <c r="J19" s="496"/>
      <c r="K19" s="496"/>
      <c r="L19" s="496"/>
      <c r="M19" s="496"/>
      <c r="N19" s="496"/>
      <c r="O19" s="496"/>
      <c r="P19" s="496"/>
      <c r="Q19" s="496"/>
      <c r="R19" s="496"/>
      <c r="S19" s="496"/>
      <c r="T19" s="496"/>
      <c r="U19" s="294"/>
      <c r="V19" s="290"/>
    </row>
    <row r="20" spans="2:22" ht="18" customHeight="1">
      <c r="B20" s="286"/>
      <c r="C20" s="291"/>
      <c r="D20" s="292"/>
      <c r="E20" s="292"/>
      <c r="F20" s="303"/>
      <c r="G20" s="303"/>
      <c r="H20" s="303"/>
      <c r="I20" s="303"/>
      <c r="J20" s="303"/>
      <c r="K20" s="303"/>
      <c r="L20" s="303"/>
      <c r="M20" s="303"/>
      <c r="N20" s="303"/>
      <c r="O20" s="303"/>
      <c r="P20" s="303"/>
      <c r="Q20" s="303"/>
      <c r="R20" s="303"/>
      <c r="S20" s="303"/>
      <c r="T20" s="292"/>
      <c r="U20" s="294"/>
      <c r="V20" s="290"/>
    </row>
    <row r="21" spans="2:22" ht="4.5" customHeight="1">
      <c r="B21" s="286"/>
      <c r="C21" s="291"/>
      <c r="D21" s="304"/>
      <c r="E21" s="305"/>
      <c r="F21" s="305"/>
      <c r="G21" s="305"/>
      <c r="H21" s="305"/>
      <c r="I21" s="305"/>
      <c r="J21" s="305"/>
      <c r="K21" s="305"/>
      <c r="L21" s="305"/>
      <c r="M21" s="305"/>
      <c r="N21" s="305"/>
      <c r="O21" s="305"/>
      <c r="P21" s="305"/>
      <c r="Q21" s="305"/>
      <c r="R21" s="305"/>
      <c r="S21" s="305"/>
      <c r="T21" s="306"/>
      <c r="U21" s="294"/>
      <c r="V21" s="290"/>
    </row>
    <row r="22" spans="2:22" s="307" customFormat="1" ht="21" customHeight="1">
      <c r="B22" s="308"/>
      <c r="C22" s="309"/>
      <c r="D22" s="310" t="s">
        <v>270</v>
      </c>
      <c r="E22" s="311"/>
      <c r="F22" s="311"/>
      <c r="G22" s="311"/>
      <c r="H22" s="311"/>
      <c r="I22" s="312"/>
      <c r="J22" s="312"/>
      <c r="K22" s="312"/>
      <c r="L22" s="312"/>
      <c r="M22" s="312"/>
      <c r="N22" s="312"/>
      <c r="O22" s="312"/>
      <c r="P22" s="312"/>
      <c r="Q22" s="312"/>
      <c r="R22" s="312"/>
      <c r="S22" s="312"/>
      <c r="T22" s="313"/>
      <c r="U22" s="314"/>
      <c r="V22" s="315"/>
    </row>
    <row r="23" spans="2:22" s="307" customFormat="1" ht="4.5" customHeight="1">
      <c r="B23" s="308"/>
      <c r="C23" s="309"/>
      <c r="D23" s="316"/>
      <c r="E23" s="312"/>
      <c r="F23" s="312"/>
      <c r="G23" s="312"/>
      <c r="H23" s="312"/>
      <c r="I23" s="312"/>
      <c r="J23" s="312"/>
      <c r="K23" s="312"/>
      <c r="L23" s="312"/>
      <c r="M23" s="312"/>
      <c r="N23" s="312"/>
      <c r="O23" s="312"/>
      <c r="P23" s="312"/>
      <c r="Q23" s="312"/>
      <c r="R23" s="312"/>
      <c r="S23" s="312"/>
      <c r="T23" s="313"/>
      <c r="U23" s="314"/>
      <c r="V23" s="315"/>
    </row>
    <row r="24" spans="2:22" ht="15.75" customHeight="1">
      <c r="B24" s="286"/>
      <c r="C24" s="291"/>
      <c r="D24" s="480" t="s">
        <v>271</v>
      </c>
      <c r="E24" s="480"/>
      <c r="F24" s="480"/>
      <c r="G24" s="480"/>
      <c r="H24" s="480"/>
      <c r="I24" s="480"/>
      <c r="J24" s="480"/>
      <c r="K24" s="480"/>
      <c r="L24" s="481"/>
      <c r="M24" s="481"/>
      <c r="N24" s="481"/>
      <c r="O24" s="481"/>
      <c r="P24" s="481"/>
      <c r="Q24" s="481"/>
      <c r="R24" s="481"/>
      <c r="S24" s="481"/>
      <c r="T24" s="481"/>
      <c r="U24" s="294"/>
      <c r="V24" s="290"/>
    </row>
    <row r="25" spans="2:22" ht="15.75" customHeight="1">
      <c r="B25" s="286"/>
      <c r="C25" s="291"/>
      <c r="D25" s="480" t="s">
        <v>272</v>
      </c>
      <c r="E25" s="480"/>
      <c r="F25" s="480"/>
      <c r="G25" s="480"/>
      <c r="H25" s="480"/>
      <c r="I25" s="480"/>
      <c r="J25" s="480"/>
      <c r="K25" s="480"/>
      <c r="L25" s="481"/>
      <c r="M25" s="481"/>
      <c r="N25" s="481"/>
      <c r="O25" s="481"/>
      <c r="P25" s="481"/>
      <c r="Q25" s="481"/>
      <c r="R25" s="481"/>
      <c r="S25" s="481"/>
      <c r="T25" s="481"/>
      <c r="U25" s="294"/>
      <c r="V25" s="290"/>
    </row>
    <row r="26" spans="2:22" ht="15.75" customHeight="1">
      <c r="B26" s="286"/>
      <c r="C26" s="291"/>
      <c r="D26" s="480" t="s">
        <v>273</v>
      </c>
      <c r="E26" s="480"/>
      <c r="F26" s="480"/>
      <c r="G26" s="480"/>
      <c r="H26" s="480"/>
      <c r="I26" s="480"/>
      <c r="J26" s="480"/>
      <c r="K26" s="480"/>
      <c r="L26" s="481"/>
      <c r="M26" s="481"/>
      <c r="N26" s="481"/>
      <c r="O26" s="481"/>
      <c r="P26" s="481"/>
      <c r="Q26" s="481"/>
      <c r="R26" s="481"/>
      <c r="S26" s="481"/>
      <c r="T26" s="481"/>
      <c r="U26" s="294"/>
      <c r="V26" s="290"/>
    </row>
    <row r="27" spans="2:22" ht="15.75" customHeight="1">
      <c r="B27" s="286"/>
      <c r="C27" s="291"/>
      <c r="D27" s="480" t="s">
        <v>274</v>
      </c>
      <c r="E27" s="480"/>
      <c r="F27" s="480"/>
      <c r="G27" s="480"/>
      <c r="H27" s="480"/>
      <c r="I27" s="480"/>
      <c r="J27" s="480"/>
      <c r="K27" s="480"/>
      <c r="L27" s="481"/>
      <c r="M27" s="481"/>
      <c r="N27" s="481"/>
      <c r="O27" s="481"/>
      <c r="P27" s="481"/>
      <c r="Q27" s="481"/>
      <c r="R27" s="481"/>
      <c r="S27" s="481"/>
      <c r="T27" s="481"/>
      <c r="U27" s="294"/>
      <c r="V27" s="290"/>
    </row>
    <row r="28" spans="2:22" ht="31.5" customHeight="1">
      <c r="B28" s="286"/>
      <c r="C28" s="291"/>
      <c r="D28" s="480" t="s">
        <v>275</v>
      </c>
      <c r="E28" s="480"/>
      <c r="F28" s="480"/>
      <c r="G28" s="480"/>
      <c r="H28" s="480"/>
      <c r="I28" s="480"/>
      <c r="J28" s="480"/>
      <c r="K28" s="480"/>
      <c r="L28" s="482"/>
      <c r="M28" s="482"/>
      <c r="N28" s="482"/>
      <c r="O28" s="482"/>
      <c r="P28" s="482"/>
      <c r="Q28" s="482"/>
      <c r="R28" s="482"/>
      <c r="S28" s="482"/>
      <c r="T28" s="482"/>
      <c r="U28" s="294"/>
      <c r="V28" s="290"/>
    </row>
    <row r="29" spans="2:22" ht="15.75" customHeight="1">
      <c r="B29" s="286"/>
      <c r="C29" s="291"/>
      <c r="D29" s="480" t="s">
        <v>276</v>
      </c>
      <c r="E29" s="480"/>
      <c r="F29" s="480"/>
      <c r="G29" s="480"/>
      <c r="H29" s="480"/>
      <c r="I29" s="480"/>
      <c r="J29" s="480"/>
      <c r="K29" s="480"/>
      <c r="L29" s="481"/>
      <c r="M29" s="481"/>
      <c r="N29" s="481"/>
      <c r="O29" s="481"/>
      <c r="P29" s="481"/>
      <c r="Q29" s="481"/>
      <c r="R29" s="481"/>
      <c r="S29" s="481"/>
      <c r="T29" s="481"/>
      <c r="U29" s="294"/>
      <c r="V29" s="290"/>
    </row>
    <row r="30" spans="2:22" ht="4.5" customHeight="1">
      <c r="B30" s="286"/>
      <c r="C30" s="291"/>
      <c r="D30" s="317"/>
      <c r="E30" s="318"/>
      <c r="F30" s="318"/>
      <c r="G30" s="318"/>
      <c r="H30" s="318"/>
      <c r="I30" s="318"/>
      <c r="J30" s="318"/>
      <c r="K30" s="318"/>
      <c r="L30" s="319"/>
      <c r="M30" s="320"/>
      <c r="N30" s="320"/>
      <c r="O30" s="320"/>
      <c r="P30" s="320"/>
      <c r="Q30" s="320"/>
      <c r="R30" s="320"/>
      <c r="S30" s="320"/>
      <c r="T30" s="321"/>
      <c r="U30" s="294"/>
      <c r="V30" s="290"/>
    </row>
    <row r="31" spans="2:22" ht="15.75" customHeight="1">
      <c r="B31" s="286"/>
      <c r="C31" s="291"/>
      <c r="D31" s="322"/>
      <c r="E31" s="322"/>
      <c r="F31" s="322"/>
      <c r="G31" s="322"/>
      <c r="H31" s="322"/>
      <c r="I31" s="322"/>
      <c r="J31" s="322"/>
      <c r="K31" s="322"/>
      <c r="L31" s="323"/>
      <c r="M31" s="324"/>
      <c r="N31" s="324"/>
      <c r="O31" s="324"/>
      <c r="P31" s="324"/>
      <c r="Q31" s="324"/>
      <c r="R31" s="324"/>
      <c r="S31" s="324"/>
      <c r="T31" s="324"/>
      <c r="U31" s="294"/>
      <c r="V31" s="290"/>
    </row>
    <row r="32" spans="2:22" ht="5.25" customHeight="1">
      <c r="B32" s="286"/>
      <c r="C32" s="291"/>
      <c r="D32" s="325"/>
      <c r="E32" s="326"/>
      <c r="F32" s="326"/>
      <c r="G32" s="326"/>
      <c r="H32" s="326"/>
      <c r="I32" s="326"/>
      <c r="J32" s="326"/>
      <c r="K32" s="326"/>
      <c r="L32" s="327"/>
      <c r="M32" s="328"/>
      <c r="N32" s="328"/>
      <c r="O32" s="328"/>
      <c r="P32" s="328"/>
      <c r="Q32" s="328"/>
      <c r="R32" s="328"/>
      <c r="S32" s="328"/>
      <c r="T32" s="329"/>
      <c r="U32" s="294"/>
      <c r="V32" s="290"/>
    </row>
    <row r="33" spans="2:22" s="330" customFormat="1" ht="21" customHeight="1">
      <c r="B33" s="331"/>
      <c r="C33" s="332"/>
      <c r="D33" s="310" t="s">
        <v>277</v>
      </c>
      <c r="E33" s="311"/>
      <c r="F33" s="311"/>
      <c r="G33" s="311"/>
      <c r="H33" s="311"/>
      <c r="I33" s="311"/>
      <c r="J33" s="311"/>
      <c r="K33" s="311"/>
      <c r="L33" s="311"/>
      <c r="M33" s="311"/>
      <c r="N33" s="311"/>
      <c r="O33" s="311"/>
      <c r="P33" s="311"/>
      <c r="Q33" s="311"/>
      <c r="R33" s="311"/>
      <c r="S33" s="311"/>
      <c r="T33" s="333"/>
      <c r="U33" s="334"/>
      <c r="V33" s="335"/>
    </row>
    <row r="34" spans="2:22" s="336" customFormat="1" ht="4.5" customHeight="1">
      <c r="B34" s="337"/>
      <c r="C34" s="338"/>
      <c r="D34" s="316"/>
      <c r="E34" s="312"/>
      <c r="F34" s="312"/>
      <c r="G34" s="312"/>
      <c r="H34" s="312"/>
      <c r="I34" s="312"/>
      <c r="J34" s="312"/>
      <c r="K34" s="312"/>
      <c r="L34" s="312"/>
      <c r="M34" s="312"/>
      <c r="N34" s="312"/>
      <c r="O34" s="312"/>
      <c r="P34" s="312"/>
      <c r="Q34" s="312"/>
      <c r="R34" s="312"/>
      <c r="S34" s="312"/>
      <c r="T34" s="313"/>
      <c r="U34" s="339"/>
      <c r="V34" s="340"/>
    </row>
    <row r="35" spans="2:22" s="307" customFormat="1" ht="15.75" customHeight="1">
      <c r="B35" s="308"/>
      <c r="C35" s="309"/>
      <c r="D35" s="480" t="s">
        <v>278</v>
      </c>
      <c r="E35" s="480"/>
      <c r="F35" s="480"/>
      <c r="G35" s="480"/>
      <c r="H35" s="480"/>
      <c r="I35" s="483">
        <f>SÖZLEŞME!$Y$7</f>
        <v>0</v>
      </c>
      <c r="J35" s="483"/>
      <c r="K35" s="483"/>
      <c r="L35" s="483"/>
      <c r="M35" s="483"/>
      <c r="N35" s="483"/>
      <c r="O35" s="483"/>
      <c r="P35" s="483"/>
      <c r="Q35" s="483"/>
      <c r="R35" s="483"/>
      <c r="S35" s="483"/>
      <c r="T35" s="483"/>
      <c r="U35" s="314"/>
      <c r="V35" s="315"/>
    </row>
    <row r="36" spans="2:22" s="307" customFormat="1" ht="15.75" customHeight="1">
      <c r="B36" s="308"/>
      <c r="C36" s="309"/>
      <c r="D36" s="480" t="s">
        <v>279</v>
      </c>
      <c r="E36" s="480"/>
      <c r="F36" s="480"/>
      <c r="G36" s="480"/>
      <c r="H36" s="480"/>
      <c r="I36" s="483"/>
      <c r="J36" s="483"/>
      <c r="K36" s="483"/>
      <c r="L36" s="483"/>
      <c r="M36" s="483"/>
      <c r="N36" s="483"/>
      <c r="O36" s="483"/>
      <c r="P36" s="483"/>
      <c r="Q36" s="483"/>
      <c r="R36" s="483"/>
      <c r="S36" s="483"/>
      <c r="T36" s="483"/>
      <c r="U36" s="314"/>
      <c r="V36" s="315"/>
    </row>
    <row r="37" spans="2:22" s="307" customFormat="1" ht="15.75" customHeight="1">
      <c r="B37" s="308"/>
      <c r="C37" s="309"/>
      <c r="D37" s="480" t="s">
        <v>280</v>
      </c>
      <c r="E37" s="480"/>
      <c r="F37" s="480"/>
      <c r="G37" s="480"/>
      <c r="H37" s="480"/>
      <c r="I37" s="483">
        <f>SÖZLEŞME!Y8</f>
        <v>0</v>
      </c>
      <c r="J37" s="483"/>
      <c r="K37" s="483"/>
      <c r="L37" s="483"/>
      <c r="M37" s="483"/>
      <c r="N37" s="483"/>
      <c r="O37" s="483"/>
      <c r="P37" s="483"/>
      <c r="Q37" s="483"/>
      <c r="R37" s="483"/>
      <c r="S37" s="483"/>
      <c r="T37" s="483"/>
      <c r="U37" s="314"/>
      <c r="V37" s="315"/>
    </row>
    <row r="38" spans="2:22" s="307" customFormat="1" ht="15.75" customHeight="1">
      <c r="B38" s="308"/>
      <c r="C38" s="309"/>
      <c r="D38" s="480" t="s">
        <v>281</v>
      </c>
      <c r="E38" s="480"/>
      <c r="F38" s="480"/>
      <c r="G38" s="480"/>
      <c r="H38" s="480"/>
      <c r="I38" s="483">
        <f>SÖZLEŞME!Y10</f>
        <v>0</v>
      </c>
      <c r="J38" s="483"/>
      <c r="K38" s="483"/>
      <c r="L38" s="483"/>
      <c r="M38" s="483"/>
      <c r="N38" s="483"/>
      <c r="O38" s="483"/>
      <c r="P38" s="483"/>
      <c r="Q38" s="483"/>
      <c r="R38" s="483"/>
      <c r="S38" s="483"/>
      <c r="T38" s="483"/>
      <c r="U38" s="314"/>
      <c r="V38" s="315"/>
    </row>
    <row r="39" spans="2:22" s="307" customFormat="1" ht="15.75" customHeight="1">
      <c r="B39" s="308"/>
      <c r="C39" s="309"/>
      <c r="D39" s="480" t="s">
        <v>282</v>
      </c>
      <c r="E39" s="480"/>
      <c r="F39" s="480"/>
      <c r="G39" s="480"/>
      <c r="H39" s="480"/>
      <c r="I39" s="489">
        <f>SÖZLEŞME!$B$17</f>
        <v>0</v>
      </c>
      <c r="J39" s="489"/>
      <c r="K39" s="489"/>
      <c r="L39" s="484" t="s">
        <v>283</v>
      </c>
      <c r="M39" s="484"/>
      <c r="N39" s="484" t="s">
        <v>284</v>
      </c>
      <c r="O39" s="484"/>
      <c r="P39" s="484"/>
      <c r="Q39" s="484" t="s">
        <v>285</v>
      </c>
      <c r="R39" s="484"/>
      <c r="S39" s="484" t="s">
        <v>286</v>
      </c>
      <c r="T39" s="484"/>
      <c r="U39" s="314"/>
      <c r="V39" s="315"/>
    </row>
    <row r="40" spans="2:22" s="307" customFormat="1" ht="15.75" customHeight="1">
      <c r="B40" s="308"/>
      <c r="C40" s="309"/>
      <c r="D40" s="480" t="s">
        <v>11</v>
      </c>
      <c r="E40" s="480"/>
      <c r="F40" s="480"/>
      <c r="G40" s="480"/>
      <c r="H40" s="480"/>
      <c r="I40" s="483">
        <f>SÖZLEŞME!$G$17</f>
        <v>0</v>
      </c>
      <c r="J40" s="483"/>
      <c r="K40" s="483"/>
      <c r="L40" s="484">
        <f>SÖZLEŞME!G27</f>
        <v>0</v>
      </c>
      <c r="M40" s="484"/>
      <c r="N40" s="485" t="str">
        <f>SÖZLEŞME!$B$27</f>
        <v>Konut </v>
      </c>
      <c r="O40" s="485"/>
      <c r="P40" s="485"/>
      <c r="Q40" s="485">
        <f>SÖZLEŞME!K27</f>
        <v>2</v>
      </c>
      <c r="R40" s="485"/>
      <c r="S40" s="486">
        <f>'ASGARİ ÜCRET FORMU'!$F$21</f>
        <v>250</v>
      </c>
      <c r="T40" s="486"/>
      <c r="U40" s="314"/>
      <c r="V40" s="315"/>
    </row>
    <row r="41" spans="2:22" s="307" customFormat="1" ht="15.75" customHeight="1">
      <c r="B41" s="308"/>
      <c r="C41" s="309"/>
      <c r="D41" s="480" t="s">
        <v>287</v>
      </c>
      <c r="E41" s="480"/>
      <c r="F41" s="480"/>
      <c r="G41" s="480"/>
      <c r="H41" s="480"/>
      <c r="I41"/>
      <c r="J41" s="326"/>
      <c r="K41" s="368"/>
      <c r="L41" s="484"/>
      <c r="M41" s="484"/>
      <c r="N41" s="485"/>
      <c r="O41" s="485"/>
      <c r="P41" s="485"/>
      <c r="Q41" s="485"/>
      <c r="R41" s="485"/>
      <c r="S41" s="486"/>
      <c r="T41" s="486"/>
      <c r="U41" s="314"/>
      <c r="V41" s="315"/>
    </row>
    <row r="42" spans="2:22" s="307" customFormat="1" ht="15.75" customHeight="1">
      <c r="B42" s="308"/>
      <c r="C42" s="309"/>
      <c r="D42" s="480" t="s">
        <v>12</v>
      </c>
      <c r="E42" s="480"/>
      <c r="F42" s="480"/>
      <c r="G42" s="480"/>
      <c r="H42" s="480"/>
      <c r="I42" s="483">
        <f>SÖZLEŞME!$K$17</f>
        <v>0</v>
      </c>
      <c r="J42" s="483"/>
      <c r="K42" s="483"/>
      <c r="L42" s="484"/>
      <c r="M42" s="484"/>
      <c r="N42" s="485"/>
      <c r="O42" s="485"/>
      <c r="P42" s="485"/>
      <c r="Q42" s="485"/>
      <c r="R42" s="485"/>
      <c r="S42" s="486"/>
      <c r="T42" s="486"/>
      <c r="U42" s="314"/>
      <c r="V42" s="315"/>
    </row>
    <row r="43" spans="2:22" s="307" customFormat="1" ht="15.75" customHeight="1">
      <c r="B43" s="308"/>
      <c r="C43" s="309"/>
      <c r="D43" s="480" t="s">
        <v>288</v>
      </c>
      <c r="E43" s="480"/>
      <c r="F43" s="480"/>
      <c r="G43" s="480"/>
      <c r="H43" s="480"/>
      <c r="I43" s="481"/>
      <c r="J43" s="481"/>
      <c r="K43" s="481"/>
      <c r="L43" s="484"/>
      <c r="M43" s="484"/>
      <c r="N43" s="485"/>
      <c r="O43" s="485"/>
      <c r="P43" s="485"/>
      <c r="Q43" s="485"/>
      <c r="R43" s="485"/>
      <c r="S43" s="486"/>
      <c r="T43" s="486"/>
      <c r="U43" s="314"/>
      <c r="V43" s="315"/>
    </row>
    <row r="44" spans="2:22" s="307" customFormat="1" ht="15.75" customHeight="1">
      <c r="B44" s="308"/>
      <c r="C44" s="309"/>
      <c r="D44" s="480" t="s">
        <v>13</v>
      </c>
      <c r="E44" s="480"/>
      <c r="F44" s="480"/>
      <c r="G44" s="480"/>
      <c r="H44" s="480"/>
      <c r="I44" s="483">
        <f>SÖZLEŞME!$R$17</f>
        <v>0</v>
      </c>
      <c r="J44" s="483"/>
      <c r="K44" s="483"/>
      <c r="L44" s="484"/>
      <c r="M44" s="484"/>
      <c r="N44" s="485"/>
      <c r="O44" s="485"/>
      <c r="P44" s="485"/>
      <c r="Q44" s="485"/>
      <c r="R44" s="485"/>
      <c r="S44" s="486"/>
      <c r="T44" s="486"/>
      <c r="U44" s="314"/>
      <c r="V44" s="315"/>
    </row>
    <row r="45" spans="2:22" s="307" customFormat="1" ht="15.75" customHeight="1">
      <c r="B45" s="308"/>
      <c r="C45" s="309"/>
      <c r="D45" s="480" t="s">
        <v>14</v>
      </c>
      <c r="E45" s="480"/>
      <c r="F45" s="480"/>
      <c r="G45" s="480"/>
      <c r="H45" s="480"/>
      <c r="I45" s="487">
        <f>SÖZLEŞME!$AA$17</f>
        <v>0</v>
      </c>
      <c r="J45" s="487"/>
      <c r="K45" s="487"/>
      <c r="L45" s="484"/>
      <c r="M45" s="484"/>
      <c r="N45" s="485"/>
      <c r="O45" s="485"/>
      <c r="P45" s="485"/>
      <c r="Q45" s="485"/>
      <c r="R45" s="485"/>
      <c r="S45" s="486"/>
      <c r="T45" s="486"/>
      <c r="U45" s="314"/>
      <c r="V45" s="315"/>
    </row>
    <row r="46" spans="2:22" s="307" customFormat="1" ht="15.75" customHeight="1">
      <c r="B46" s="308"/>
      <c r="C46" s="309"/>
      <c r="D46" s="480" t="s">
        <v>15</v>
      </c>
      <c r="E46" s="480"/>
      <c r="F46" s="480"/>
      <c r="G46" s="480"/>
      <c r="H46" s="480"/>
      <c r="I46" s="483">
        <f>SÖZLEŞME!$AF$17</f>
        <v>0</v>
      </c>
      <c r="J46" s="483"/>
      <c r="K46" s="483"/>
      <c r="L46" s="488" t="s">
        <v>289</v>
      </c>
      <c r="M46" s="488"/>
      <c r="N46" s="488"/>
      <c r="O46" s="489">
        <f>'ASGARİ ÜCRET FORMU'!$F$22</f>
        <v>2</v>
      </c>
      <c r="P46" s="489"/>
      <c r="Q46" s="488" t="s">
        <v>290</v>
      </c>
      <c r="R46" s="488"/>
      <c r="S46" s="486">
        <f>SUM(S40:S45)</f>
        <v>250</v>
      </c>
      <c r="T46" s="486"/>
      <c r="U46" s="314"/>
      <c r="V46" s="315"/>
    </row>
    <row r="47" spans="2:22" s="307" customFormat="1" ht="15.75" customHeight="1">
      <c r="B47" s="308"/>
      <c r="C47" s="309"/>
      <c r="D47" s="480" t="s">
        <v>16</v>
      </c>
      <c r="E47" s="480"/>
      <c r="F47" s="480"/>
      <c r="G47" s="480"/>
      <c r="H47" s="480"/>
      <c r="I47" s="487">
        <f>SÖZLEŞME!$AJ$17</f>
        <v>0</v>
      </c>
      <c r="J47" s="487"/>
      <c r="K47" s="487"/>
      <c r="L47" s="488" t="s">
        <v>291</v>
      </c>
      <c r="M47" s="488"/>
      <c r="N47" s="488"/>
      <c r="O47" s="489" t="str">
        <f>IF(O46&lt;3,"SOBALI",IF(O46="3A","KAT KALORİFERLİ",IF(O46="3B","MERKEZİ KALORİFERLİ",0)))</f>
        <v>SOBALI</v>
      </c>
      <c r="P47" s="489"/>
      <c r="Q47" s="488" t="s">
        <v>292</v>
      </c>
      <c r="R47" s="488"/>
      <c r="S47" s="484" t="s">
        <v>293</v>
      </c>
      <c r="T47" s="484"/>
      <c r="U47" s="314"/>
      <c r="V47" s="315"/>
    </row>
    <row r="48" spans="2:22" s="307" customFormat="1" ht="49.5" customHeight="1">
      <c r="B48" s="308"/>
      <c r="C48" s="309"/>
      <c r="D48" s="480" t="s">
        <v>294</v>
      </c>
      <c r="E48" s="480"/>
      <c r="F48" s="480"/>
      <c r="G48" s="480"/>
      <c r="H48" s="480"/>
      <c r="I48" s="490" t="str">
        <f>IF(O46&lt;3,"ISI YALITIM   ve                     SIHHİ TESİSATI","ISI YALITIM,                            SIHHİ TESİSATI  ve                   KALORİFER TESİSATI ")</f>
        <v>ISI YALITIM   ve                     SIHHİ TESİSATI</v>
      </c>
      <c r="J48" s="490"/>
      <c r="K48" s="490"/>
      <c r="L48" s="491" t="s">
        <v>295</v>
      </c>
      <c r="M48" s="491"/>
      <c r="N48" s="491"/>
      <c r="O48" s="492"/>
      <c r="P48" s="492"/>
      <c r="Q48" s="492"/>
      <c r="R48" s="492"/>
      <c r="S48" s="492"/>
      <c r="T48" s="492"/>
      <c r="U48" s="314"/>
      <c r="V48" s="315"/>
    </row>
    <row r="49" spans="2:22" s="307" customFormat="1" ht="15.75" customHeight="1">
      <c r="B49" s="308"/>
      <c r="C49" s="309"/>
      <c r="D49" s="480" t="s">
        <v>296</v>
      </c>
      <c r="E49" s="480"/>
      <c r="F49" s="480"/>
      <c r="G49" s="480"/>
      <c r="H49" s="480"/>
      <c r="I49" s="483" t="str">
        <f>SÖZLEŞME!$B$27</f>
        <v>Konut </v>
      </c>
      <c r="J49" s="483"/>
      <c r="K49" s="483"/>
      <c r="L49" s="491"/>
      <c r="M49" s="491"/>
      <c r="N49" s="491"/>
      <c r="O49" s="492"/>
      <c r="P49" s="492"/>
      <c r="Q49" s="492"/>
      <c r="R49" s="492"/>
      <c r="S49" s="492"/>
      <c r="T49" s="492"/>
      <c r="U49" s="314"/>
      <c r="V49" s="315"/>
    </row>
    <row r="50" spans="2:22" s="307" customFormat="1" ht="4.5" customHeight="1">
      <c r="B50" s="308"/>
      <c r="C50" s="309"/>
      <c r="D50" s="341"/>
      <c r="E50" s="342"/>
      <c r="F50" s="318"/>
      <c r="G50" s="318"/>
      <c r="H50" s="318"/>
      <c r="I50" s="318"/>
      <c r="J50" s="318"/>
      <c r="K50" s="318"/>
      <c r="L50" s="343"/>
      <c r="M50" s="343"/>
      <c r="N50" s="343"/>
      <c r="O50" s="344"/>
      <c r="P50" s="344"/>
      <c r="Q50" s="344"/>
      <c r="R50" s="344"/>
      <c r="S50" s="344"/>
      <c r="T50" s="345"/>
      <c r="U50" s="314"/>
      <c r="V50" s="315"/>
    </row>
    <row r="51" spans="2:22" ht="12.75">
      <c r="B51" s="286"/>
      <c r="C51" s="291"/>
      <c r="D51" s="292"/>
      <c r="E51" s="292"/>
      <c r="F51" s="292"/>
      <c r="G51" s="292"/>
      <c r="H51" s="292"/>
      <c r="I51" s="292"/>
      <c r="J51" s="292"/>
      <c r="K51" s="292"/>
      <c r="L51" s="324"/>
      <c r="M51" s="324"/>
      <c r="N51" s="324"/>
      <c r="O51" s="324"/>
      <c r="P51" s="324"/>
      <c r="Q51" s="324"/>
      <c r="R51" s="324"/>
      <c r="S51" s="324"/>
      <c r="T51" s="324"/>
      <c r="U51" s="294"/>
      <c r="V51" s="290"/>
    </row>
    <row r="52" spans="2:22" ht="12.75">
      <c r="B52" s="286"/>
      <c r="C52" s="291"/>
      <c r="D52" s="292"/>
      <c r="E52" s="292"/>
      <c r="F52" s="292"/>
      <c r="G52" s="292"/>
      <c r="H52" s="292"/>
      <c r="I52" s="292"/>
      <c r="J52" s="292"/>
      <c r="K52" s="292"/>
      <c r="L52" s="324"/>
      <c r="M52" s="324"/>
      <c r="N52" s="324"/>
      <c r="O52" s="324"/>
      <c r="P52" s="324"/>
      <c r="Q52" s="324"/>
      <c r="R52" s="324"/>
      <c r="S52" s="324"/>
      <c r="T52" s="324"/>
      <c r="U52" s="294"/>
      <c r="V52" s="290"/>
    </row>
    <row r="53" spans="2:22" s="346" customFormat="1" ht="12.75">
      <c r="B53" s="347"/>
      <c r="C53" s="348"/>
      <c r="D53" s="349" t="s">
        <v>297</v>
      </c>
      <c r="E53" s="350"/>
      <c r="F53" s="350"/>
      <c r="G53" s="350"/>
      <c r="H53" s="350"/>
      <c r="I53" s="350"/>
      <c r="J53" s="350"/>
      <c r="K53" s="350"/>
      <c r="L53" s="350"/>
      <c r="M53" s="350"/>
      <c r="N53" s="350"/>
      <c r="O53" s="350"/>
      <c r="P53" s="350"/>
      <c r="Q53" s="350"/>
      <c r="R53" s="350"/>
      <c r="S53" s="350"/>
      <c r="T53" s="350"/>
      <c r="U53" s="351"/>
      <c r="V53" s="352"/>
    </row>
    <row r="54" spans="2:22" s="346" customFormat="1" ht="12.75">
      <c r="B54" s="347"/>
      <c r="C54" s="348"/>
      <c r="D54" s="349" t="s">
        <v>298</v>
      </c>
      <c r="E54" s="350"/>
      <c r="F54" s="350"/>
      <c r="G54" s="350"/>
      <c r="H54" s="350"/>
      <c r="I54" s="350"/>
      <c r="J54" s="350"/>
      <c r="K54" s="350"/>
      <c r="L54" s="350"/>
      <c r="M54" s="350"/>
      <c r="N54" s="350"/>
      <c r="O54" s="350"/>
      <c r="P54" s="350"/>
      <c r="Q54" s="350"/>
      <c r="R54" s="350"/>
      <c r="S54" s="350"/>
      <c r="T54" s="350"/>
      <c r="U54" s="351"/>
      <c r="V54" s="352"/>
    </row>
    <row r="55" spans="2:22" s="346" customFormat="1" ht="12.75">
      <c r="B55" s="347"/>
      <c r="C55" s="348"/>
      <c r="D55" s="349" t="s">
        <v>299</v>
      </c>
      <c r="E55" s="350"/>
      <c r="F55" s="350"/>
      <c r="G55" s="350"/>
      <c r="H55" s="350"/>
      <c r="I55" s="350"/>
      <c r="J55" s="350"/>
      <c r="K55" s="350"/>
      <c r="L55" s="350"/>
      <c r="M55" s="350"/>
      <c r="N55" s="350"/>
      <c r="O55" s="350"/>
      <c r="P55" s="350"/>
      <c r="Q55" s="350"/>
      <c r="R55" s="350"/>
      <c r="S55" s="350"/>
      <c r="T55" s="350"/>
      <c r="U55" s="351"/>
      <c r="V55" s="352"/>
    </row>
    <row r="56" spans="2:22" s="346" customFormat="1" ht="12.75">
      <c r="B56" s="347"/>
      <c r="C56" s="348"/>
      <c r="D56" s="349" t="s">
        <v>300</v>
      </c>
      <c r="E56" s="350"/>
      <c r="F56" s="350"/>
      <c r="G56" s="350"/>
      <c r="H56" s="350"/>
      <c r="I56" s="350"/>
      <c r="J56" s="350"/>
      <c r="K56" s="350"/>
      <c r="L56" s="350"/>
      <c r="M56" s="350"/>
      <c r="N56" s="350"/>
      <c r="O56" s="350"/>
      <c r="P56" s="350"/>
      <c r="Q56" s="350"/>
      <c r="R56" s="350"/>
      <c r="S56" s="350"/>
      <c r="T56" s="350"/>
      <c r="U56" s="351"/>
      <c r="V56" s="352"/>
    </row>
    <row r="57" spans="2:22" s="346" customFormat="1" ht="12.75">
      <c r="B57" s="347"/>
      <c r="C57" s="348"/>
      <c r="D57" s="349"/>
      <c r="E57" s="350"/>
      <c r="F57" s="350"/>
      <c r="G57" s="350"/>
      <c r="H57" s="350"/>
      <c r="I57" s="350"/>
      <c r="J57" s="350"/>
      <c r="K57" s="350"/>
      <c r="L57" s="350"/>
      <c r="M57" s="350"/>
      <c r="N57" s="350"/>
      <c r="O57" s="350"/>
      <c r="P57" s="350"/>
      <c r="Q57" s="350"/>
      <c r="R57" s="350"/>
      <c r="S57" s="350"/>
      <c r="T57" s="350"/>
      <c r="U57" s="351"/>
      <c r="V57" s="352"/>
    </row>
    <row r="58" spans="2:22" s="346" customFormat="1" ht="12.75">
      <c r="B58" s="347"/>
      <c r="C58" s="348"/>
      <c r="D58" s="349" t="s">
        <v>301</v>
      </c>
      <c r="E58" s="350"/>
      <c r="F58" s="350"/>
      <c r="G58" s="350"/>
      <c r="H58" s="350"/>
      <c r="I58" s="350"/>
      <c r="J58" s="350"/>
      <c r="K58" s="350"/>
      <c r="L58" s="350"/>
      <c r="M58" s="350"/>
      <c r="N58" s="350"/>
      <c r="O58" s="350"/>
      <c r="P58" s="350"/>
      <c r="Q58" s="350"/>
      <c r="R58" s="350"/>
      <c r="S58" s="350"/>
      <c r="T58" s="350"/>
      <c r="U58" s="351"/>
      <c r="V58" s="352"/>
    </row>
    <row r="59" spans="2:22" s="346" customFormat="1" ht="12.75">
      <c r="B59" s="347"/>
      <c r="C59" s="348"/>
      <c r="D59" s="349" t="s">
        <v>302</v>
      </c>
      <c r="E59" s="350"/>
      <c r="F59" s="350"/>
      <c r="G59" s="350"/>
      <c r="H59" s="350"/>
      <c r="I59" s="350"/>
      <c r="J59" s="350"/>
      <c r="K59" s="350"/>
      <c r="L59" s="350"/>
      <c r="M59" s="350"/>
      <c r="N59" s="350"/>
      <c r="O59" s="350"/>
      <c r="P59" s="350"/>
      <c r="Q59" s="350"/>
      <c r="R59" s="350"/>
      <c r="S59" s="350"/>
      <c r="T59" s="350"/>
      <c r="U59" s="351"/>
      <c r="V59" s="352"/>
    </row>
    <row r="60" spans="2:22" s="346" customFormat="1" ht="12.75">
      <c r="B60" s="347"/>
      <c r="C60" s="348"/>
      <c r="D60" s="350"/>
      <c r="E60" s="350"/>
      <c r="F60" s="350"/>
      <c r="G60" s="350"/>
      <c r="H60" s="350"/>
      <c r="I60" s="350"/>
      <c r="J60" s="350"/>
      <c r="K60" s="350"/>
      <c r="L60" s="350"/>
      <c r="M60" s="350"/>
      <c r="N60" s="350"/>
      <c r="O60" s="350"/>
      <c r="P60" s="350"/>
      <c r="Q60" s="350"/>
      <c r="R60" s="350"/>
      <c r="S60" s="350"/>
      <c r="T60" s="350"/>
      <c r="U60" s="351"/>
      <c r="V60" s="352"/>
    </row>
    <row r="61" spans="2:22" ht="12.75">
      <c r="B61" s="286"/>
      <c r="C61" s="291"/>
      <c r="D61" s="353"/>
      <c r="E61" s="353"/>
      <c r="F61" s="353"/>
      <c r="G61" s="353"/>
      <c r="H61" s="353"/>
      <c r="I61" s="353"/>
      <c r="J61" s="353"/>
      <c r="K61" s="353"/>
      <c r="L61" s="353"/>
      <c r="M61" s="353"/>
      <c r="N61" s="353"/>
      <c r="O61" s="353"/>
      <c r="P61" s="353"/>
      <c r="Q61" s="353"/>
      <c r="R61" s="353"/>
      <c r="S61" s="353"/>
      <c r="T61" s="292"/>
      <c r="U61" s="294"/>
      <c r="V61" s="290"/>
    </row>
    <row r="62" spans="2:22" ht="12.75">
      <c r="B62" s="286"/>
      <c r="C62" s="291"/>
      <c r="D62" s="353"/>
      <c r="E62" s="353"/>
      <c r="F62" s="353"/>
      <c r="G62" s="353"/>
      <c r="H62" s="353"/>
      <c r="I62" s="353"/>
      <c r="J62" s="353"/>
      <c r="K62" s="353"/>
      <c r="L62" s="353"/>
      <c r="M62" s="353"/>
      <c r="N62" s="353"/>
      <c r="O62" s="353"/>
      <c r="P62" s="353"/>
      <c r="Q62" s="353"/>
      <c r="R62" s="353"/>
      <c r="S62" s="353"/>
      <c r="T62" s="292"/>
      <c r="U62" s="294"/>
      <c r="V62" s="290"/>
    </row>
    <row r="63" spans="2:22" ht="12.75">
      <c r="B63" s="286"/>
      <c r="C63" s="291"/>
      <c r="D63" s="353"/>
      <c r="E63" s="353"/>
      <c r="F63" s="353"/>
      <c r="G63" s="353"/>
      <c r="H63" s="353"/>
      <c r="I63" s="353"/>
      <c r="J63" s="353"/>
      <c r="K63" s="353"/>
      <c r="L63" s="353"/>
      <c r="M63" s="353"/>
      <c r="N63" s="353"/>
      <c r="O63" s="353"/>
      <c r="P63" s="353"/>
      <c r="Q63" s="353"/>
      <c r="R63" s="353"/>
      <c r="S63" s="353"/>
      <c r="T63" s="292"/>
      <c r="U63" s="294"/>
      <c r="V63" s="290"/>
    </row>
    <row r="64" spans="2:22" ht="12.75">
      <c r="B64" s="286"/>
      <c r="C64" s="291"/>
      <c r="D64" s="292"/>
      <c r="E64" s="292"/>
      <c r="F64" s="292"/>
      <c r="G64" s="292"/>
      <c r="H64" s="292"/>
      <c r="I64" s="292"/>
      <c r="J64" s="493" t="s">
        <v>303</v>
      </c>
      <c r="K64" s="493"/>
      <c r="L64" s="493"/>
      <c r="M64" s="493"/>
      <c r="N64" s="493"/>
      <c r="O64" s="493"/>
      <c r="P64" s="297"/>
      <c r="Q64" s="292"/>
      <c r="R64" s="292"/>
      <c r="S64" s="292"/>
      <c r="T64" s="292"/>
      <c r="U64" s="294"/>
      <c r="V64" s="290"/>
    </row>
    <row r="65" spans="2:22" ht="12.75">
      <c r="B65" s="286"/>
      <c r="C65" s="291"/>
      <c r="D65" s="292"/>
      <c r="E65" s="292"/>
      <c r="F65" s="292"/>
      <c r="G65" s="292"/>
      <c r="H65" s="292"/>
      <c r="I65" s="292"/>
      <c r="J65" s="494" t="s">
        <v>304</v>
      </c>
      <c r="K65" s="494"/>
      <c r="L65" s="494"/>
      <c r="M65" s="494"/>
      <c r="N65" s="494"/>
      <c r="O65" s="494"/>
      <c r="P65" s="356"/>
      <c r="Q65" s="292"/>
      <c r="R65" s="292"/>
      <c r="S65" s="292"/>
      <c r="T65" s="292"/>
      <c r="U65" s="294"/>
      <c r="V65" s="290"/>
    </row>
    <row r="66" spans="2:22" ht="12.75">
      <c r="B66" s="286"/>
      <c r="C66" s="291"/>
      <c r="D66" s="292"/>
      <c r="E66" s="292"/>
      <c r="F66" s="292"/>
      <c r="G66" s="292"/>
      <c r="H66" s="292"/>
      <c r="I66" s="292"/>
      <c r="J66" s="493" t="s">
        <v>96</v>
      </c>
      <c r="K66" s="493"/>
      <c r="L66" s="493"/>
      <c r="M66" s="297"/>
      <c r="N66" s="297"/>
      <c r="O66" s="297"/>
      <c r="P66" s="297"/>
      <c r="Q66" s="292"/>
      <c r="R66" s="292"/>
      <c r="S66" s="292"/>
      <c r="T66" s="292"/>
      <c r="U66" s="294"/>
      <c r="V66" s="290"/>
    </row>
    <row r="67" spans="2:22" ht="12.75">
      <c r="B67" s="286"/>
      <c r="C67" s="291"/>
      <c r="D67" s="292"/>
      <c r="E67" s="292"/>
      <c r="F67" s="292"/>
      <c r="G67" s="292"/>
      <c r="H67" s="292"/>
      <c r="I67" s="292"/>
      <c r="J67" s="493" t="s">
        <v>97</v>
      </c>
      <c r="K67" s="493"/>
      <c r="L67" s="493"/>
      <c r="M67" s="292"/>
      <c r="N67" s="292"/>
      <c r="O67" s="292"/>
      <c r="P67" s="292"/>
      <c r="Q67" s="292"/>
      <c r="R67" s="292"/>
      <c r="S67" s="292"/>
      <c r="T67" s="292"/>
      <c r="U67" s="294"/>
      <c r="V67" s="290"/>
    </row>
    <row r="68" spans="2:22" ht="12.75">
      <c r="B68" s="286"/>
      <c r="C68" s="291"/>
      <c r="D68" s="292"/>
      <c r="E68" s="292"/>
      <c r="F68" s="292"/>
      <c r="G68" s="292"/>
      <c r="H68" s="292"/>
      <c r="I68" s="292"/>
      <c r="J68" s="493" t="s">
        <v>305</v>
      </c>
      <c r="K68" s="493"/>
      <c r="L68" s="493"/>
      <c r="M68" s="292"/>
      <c r="N68" s="292"/>
      <c r="O68" s="292"/>
      <c r="P68" s="292"/>
      <c r="Q68" s="292"/>
      <c r="R68" s="292"/>
      <c r="S68" s="292"/>
      <c r="T68" s="292"/>
      <c r="U68" s="294"/>
      <c r="V68" s="290"/>
    </row>
    <row r="69" spans="2:22" ht="12.75">
      <c r="B69" s="286"/>
      <c r="C69" s="291"/>
      <c r="D69" s="292"/>
      <c r="E69" s="292"/>
      <c r="F69" s="292"/>
      <c r="G69" s="292"/>
      <c r="H69" s="292"/>
      <c r="I69" s="292"/>
      <c r="J69" s="354"/>
      <c r="K69" s="354"/>
      <c r="L69" s="354"/>
      <c r="M69" s="292"/>
      <c r="N69" s="292"/>
      <c r="O69" s="292"/>
      <c r="P69" s="292"/>
      <c r="Q69" s="292"/>
      <c r="R69" s="292"/>
      <c r="S69" s="292"/>
      <c r="T69" s="292"/>
      <c r="U69" s="294"/>
      <c r="V69" s="290"/>
    </row>
    <row r="70" spans="2:22" ht="12.75">
      <c r="B70" s="286"/>
      <c r="C70" s="291"/>
      <c r="D70" s="292"/>
      <c r="E70" s="292"/>
      <c r="F70" s="292"/>
      <c r="G70" s="292"/>
      <c r="H70" s="292"/>
      <c r="I70" s="292"/>
      <c r="J70" s="354"/>
      <c r="K70" s="354"/>
      <c r="L70" s="354"/>
      <c r="M70" s="292"/>
      <c r="N70" s="292"/>
      <c r="O70" s="292"/>
      <c r="P70" s="292"/>
      <c r="Q70" s="292"/>
      <c r="R70" s="292"/>
      <c r="S70" s="292"/>
      <c r="T70" s="292"/>
      <c r="U70" s="294"/>
      <c r="V70" s="290"/>
    </row>
    <row r="71" spans="2:22" ht="12.75">
      <c r="B71" s="286"/>
      <c r="C71" s="291"/>
      <c r="D71" s="292"/>
      <c r="E71" s="292"/>
      <c r="F71" s="292"/>
      <c r="G71" s="292"/>
      <c r="H71" s="292"/>
      <c r="I71" s="292"/>
      <c r="J71" s="354"/>
      <c r="K71" s="354"/>
      <c r="L71" s="354"/>
      <c r="M71" s="292"/>
      <c r="N71" s="292"/>
      <c r="O71" s="292"/>
      <c r="P71" s="292"/>
      <c r="Q71" s="292"/>
      <c r="R71" s="292"/>
      <c r="S71" s="292"/>
      <c r="T71" s="292"/>
      <c r="U71" s="294"/>
      <c r="V71" s="290"/>
    </row>
    <row r="72" spans="2:22" ht="12.75">
      <c r="B72" s="286"/>
      <c r="C72" s="291"/>
      <c r="D72" s="292"/>
      <c r="E72" s="292"/>
      <c r="F72" s="292"/>
      <c r="G72" s="292"/>
      <c r="H72" s="354"/>
      <c r="I72" s="354"/>
      <c r="J72" s="354"/>
      <c r="K72" s="292"/>
      <c r="L72" s="292"/>
      <c r="M72" s="292"/>
      <c r="N72" s="292"/>
      <c r="O72" s="292"/>
      <c r="P72" s="292"/>
      <c r="Q72" s="292"/>
      <c r="R72" s="292"/>
      <c r="S72" s="292"/>
      <c r="T72" s="292"/>
      <c r="U72" s="294"/>
      <c r="V72" s="290"/>
    </row>
    <row r="73" spans="2:22" ht="12.75">
      <c r="B73" s="286"/>
      <c r="C73" s="291"/>
      <c r="D73" s="292"/>
      <c r="E73" s="292"/>
      <c r="F73" s="292"/>
      <c r="G73" s="354"/>
      <c r="H73" s="354"/>
      <c r="I73" s="354"/>
      <c r="J73" s="292"/>
      <c r="K73" s="292"/>
      <c r="L73" s="292"/>
      <c r="M73" s="292"/>
      <c r="N73" s="292"/>
      <c r="O73" s="292"/>
      <c r="P73" s="292"/>
      <c r="Q73" s="292"/>
      <c r="R73" s="292"/>
      <c r="S73" s="292"/>
      <c r="T73" s="292"/>
      <c r="U73" s="294"/>
      <c r="V73" s="290"/>
    </row>
    <row r="74" spans="2:22" ht="12.75">
      <c r="B74" s="286"/>
      <c r="C74" s="291"/>
      <c r="D74" s="292"/>
      <c r="E74" s="292"/>
      <c r="F74" s="292"/>
      <c r="G74" s="354"/>
      <c r="H74" s="354"/>
      <c r="I74" s="354"/>
      <c r="J74" s="292"/>
      <c r="K74" s="292"/>
      <c r="L74" s="292"/>
      <c r="M74" s="292"/>
      <c r="N74" s="292"/>
      <c r="O74" s="292"/>
      <c r="P74" s="292"/>
      <c r="Q74" s="292"/>
      <c r="R74" s="292"/>
      <c r="S74" s="292"/>
      <c r="T74" s="292"/>
      <c r="U74" s="294"/>
      <c r="V74" s="290"/>
    </row>
    <row r="75" spans="2:22" ht="12.75">
      <c r="B75" s="286"/>
      <c r="C75" s="357"/>
      <c r="D75" s="358"/>
      <c r="E75" s="358"/>
      <c r="F75" s="358"/>
      <c r="G75" s="358"/>
      <c r="H75" s="358"/>
      <c r="I75" s="358"/>
      <c r="J75" s="358"/>
      <c r="K75" s="358"/>
      <c r="L75" s="358"/>
      <c r="M75" s="358"/>
      <c r="N75" s="358"/>
      <c r="O75" s="358"/>
      <c r="P75" s="358"/>
      <c r="Q75" s="358"/>
      <c r="R75" s="358"/>
      <c r="S75" s="358"/>
      <c r="T75" s="358"/>
      <c r="U75" s="359"/>
      <c r="V75" s="290"/>
    </row>
    <row r="76" spans="2:22" ht="7.5" customHeight="1">
      <c r="B76" s="360"/>
      <c r="C76" s="361"/>
      <c r="D76" s="361"/>
      <c r="E76" s="361"/>
      <c r="F76" s="361"/>
      <c r="G76" s="361"/>
      <c r="H76" s="361"/>
      <c r="I76" s="361"/>
      <c r="J76" s="361"/>
      <c r="K76" s="361"/>
      <c r="L76" s="361"/>
      <c r="M76" s="361"/>
      <c r="N76" s="361"/>
      <c r="O76" s="361"/>
      <c r="P76" s="361"/>
      <c r="Q76" s="361"/>
      <c r="R76" s="361"/>
      <c r="S76" s="361"/>
      <c r="T76" s="361"/>
      <c r="U76" s="361"/>
      <c r="V76" s="362"/>
    </row>
    <row r="77" spans="3:19" ht="12.75">
      <c r="C77" s="292"/>
      <c r="D77" s="292"/>
      <c r="E77" s="292"/>
      <c r="F77" s="292"/>
      <c r="G77" s="292"/>
      <c r="H77" s="292"/>
      <c r="I77" s="292"/>
      <c r="J77" s="292"/>
      <c r="K77" s="292"/>
      <c r="L77" s="292"/>
      <c r="M77" s="292"/>
      <c r="N77" s="292"/>
      <c r="O77" s="292"/>
      <c r="P77" s="292"/>
      <c r="Q77" s="292"/>
      <c r="R77" s="292"/>
      <c r="S77" s="292"/>
    </row>
  </sheetData>
  <mergeCells count="92">
    <mergeCell ref="J68:L68"/>
    <mergeCell ref="J64:O64"/>
    <mergeCell ref="J65:O65"/>
    <mergeCell ref="J66:L66"/>
    <mergeCell ref="J67:L67"/>
    <mergeCell ref="D48:H48"/>
    <mergeCell ref="I48:K48"/>
    <mergeCell ref="L48:N49"/>
    <mergeCell ref="O48:T49"/>
    <mergeCell ref="D49:H49"/>
    <mergeCell ref="I49:K49"/>
    <mergeCell ref="Q46:R46"/>
    <mergeCell ref="S46:T46"/>
    <mergeCell ref="D47:H47"/>
    <mergeCell ref="I47:K47"/>
    <mergeCell ref="L47:N47"/>
    <mergeCell ref="O47:P47"/>
    <mergeCell ref="Q47:R47"/>
    <mergeCell ref="S47:T47"/>
    <mergeCell ref="D46:H46"/>
    <mergeCell ref="I46:K46"/>
    <mergeCell ref="L46:N46"/>
    <mergeCell ref="O46:P46"/>
    <mergeCell ref="Q44:R44"/>
    <mergeCell ref="S44:T44"/>
    <mergeCell ref="D45:H45"/>
    <mergeCell ref="I45:K45"/>
    <mergeCell ref="L45:M45"/>
    <mergeCell ref="N45:P45"/>
    <mergeCell ref="Q45:R45"/>
    <mergeCell ref="S45:T45"/>
    <mergeCell ref="D44:H44"/>
    <mergeCell ref="I44:K44"/>
    <mergeCell ref="L44:M44"/>
    <mergeCell ref="N44:P44"/>
    <mergeCell ref="Q42:R42"/>
    <mergeCell ref="S42:T42"/>
    <mergeCell ref="D43:H43"/>
    <mergeCell ref="I43:K43"/>
    <mergeCell ref="L43:M43"/>
    <mergeCell ref="N43:P43"/>
    <mergeCell ref="Q43:R43"/>
    <mergeCell ref="S43:T43"/>
    <mergeCell ref="D42:H42"/>
    <mergeCell ref="I42:K42"/>
    <mergeCell ref="L42:M42"/>
    <mergeCell ref="N42:P42"/>
    <mergeCell ref="Q40:R40"/>
    <mergeCell ref="S40:T40"/>
    <mergeCell ref="D41:H41"/>
    <mergeCell ref="L41:M41"/>
    <mergeCell ref="N41:P41"/>
    <mergeCell ref="Q41:R41"/>
    <mergeCell ref="S41:T41"/>
    <mergeCell ref="D40:H40"/>
    <mergeCell ref="I40:K40"/>
    <mergeCell ref="L40:M40"/>
    <mergeCell ref="N40:P40"/>
    <mergeCell ref="D38:H38"/>
    <mergeCell ref="I38:T38"/>
    <mergeCell ref="D39:H39"/>
    <mergeCell ref="I39:K39"/>
    <mergeCell ref="L39:M39"/>
    <mergeCell ref="N39:P39"/>
    <mergeCell ref="Q39:R39"/>
    <mergeCell ref="S39:T39"/>
    <mergeCell ref="D36:H36"/>
    <mergeCell ref="I36:T36"/>
    <mergeCell ref="D37:H37"/>
    <mergeCell ref="I37:T37"/>
    <mergeCell ref="D29:K29"/>
    <mergeCell ref="L29:T29"/>
    <mergeCell ref="D35:H35"/>
    <mergeCell ref="I35:T35"/>
    <mergeCell ref="D27:K27"/>
    <mergeCell ref="L27:T27"/>
    <mergeCell ref="D28:K28"/>
    <mergeCell ref="L28:T28"/>
    <mergeCell ref="D25:K25"/>
    <mergeCell ref="L25:T25"/>
    <mergeCell ref="D26:K26"/>
    <mergeCell ref="L26:T26"/>
    <mergeCell ref="I10:L12"/>
    <mergeCell ref="D18:T18"/>
    <mergeCell ref="E19:T19"/>
    <mergeCell ref="D24:K24"/>
    <mergeCell ref="L24:T24"/>
    <mergeCell ref="I6:J7"/>
    <mergeCell ref="P6:Q6"/>
    <mergeCell ref="P7:Q7"/>
    <mergeCell ref="I8:O9"/>
    <mergeCell ref="P8:Q8"/>
  </mergeCells>
  <dataValidations count="1">
    <dataValidation type="list" operator="equal" allowBlank="1" showInputMessage="1" showErrorMessage="1" prompt="Yakıt Cinsini Listeden  Seçiniz" error="Yakıt Cinsini Listeden Seçiniz ?" sqref="S47:T47">
      <formula1>"Katı yakıt,Fuel-oil,Doğalgaz,LPG,Elektrik,Güneş,Termal,Rüzgar"</formula1>
    </dataValidation>
  </dataValidations>
  <printOptions/>
  <pageMargins left="0.5" right="0.1701388888888889" top="0.37986111111111115" bottom="0.3902777777777778" header="0.5118055555555556" footer="0.5118055555555556"/>
  <pageSetup cellComments="atEnd" fitToHeight="1" fitToWidth="1" horizontalDpi="300" verticalDpi="300" orientation="portrait" paperSize="9"/>
  <drawing r:id="rId3"/>
  <legacyDrawing r:id="rId2"/>
  <oleObjects>
    <oleObject progId="opendocument.WriterDocument.1" shapeId="48416310" r:id="rId1"/>
  </oleObjects>
</worksheet>
</file>

<file path=xl/worksheets/sheet13.xml><?xml version="1.0" encoding="utf-8"?>
<worksheet xmlns="http://schemas.openxmlformats.org/spreadsheetml/2006/main" xmlns:r="http://schemas.openxmlformats.org/officeDocument/2006/relationships">
  <sheetPr>
    <pageSetUpPr fitToPage="1"/>
  </sheetPr>
  <dimension ref="A3:IV77"/>
  <sheetViews>
    <sheetView showZeros="0" workbookViewId="0" topLeftCell="A55">
      <selection activeCell="O47" sqref="O47"/>
    </sheetView>
  </sheetViews>
  <sheetFormatPr defaultColWidth="9.140625" defaultRowHeight="12.75"/>
  <cols>
    <col min="1" max="1" width="0.85546875" style="282" customWidth="1"/>
    <col min="2" max="3" width="1.28515625" style="282" customWidth="1"/>
    <col min="4" max="4" width="1.1484375" style="282" customWidth="1"/>
    <col min="5" max="5" width="2.421875" style="282" customWidth="1"/>
    <col min="6" max="6" width="6.140625" style="282" customWidth="1"/>
    <col min="7" max="7" width="5.57421875" style="282" customWidth="1"/>
    <col min="8" max="8" width="6.140625" style="282" customWidth="1"/>
    <col min="9" max="9" width="9.00390625" style="282" customWidth="1"/>
    <col min="10" max="10" width="13.7109375" style="282" customWidth="1"/>
    <col min="11" max="11" width="5.140625" style="282" customWidth="1"/>
    <col min="12" max="12" width="6.421875" style="282" customWidth="1"/>
    <col min="13" max="13" width="7.00390625" style="282" customWidth="1"/>
    <col min="14" max="14" width="8.00390625" style="282" customWidth="1"/>
    <col min="15" max="15" width="12.8515625" style="282" customWidth="1"/>
    <col min="16" max="16" width="13.421875" style="282" customWidth="1"/>
    <col min="17" max="17" width="6.140625" style="282" customWidth="1"/>
    <col min="18" max="18" width="6.28125" style="282" customWidth="1"/>
    <col min="19" max="19" width="6.57421875" style="282" customWidth="1"/>
    <col min="20" max="20" width="7.57421875" style="282" customWidth="1"/>
    <col min="21" max="21" width="2.7109375" style="282" customWidth="1"/>
    <col min="22" max="22" width="1.28515625" style="282" customWidth="1"/>
    <col min="23" max="16384" width="6.140625" style="282" customWidth="1"/>
  </cols>
  <sheetData>
    <row r="1" ht="7.5" customHeight="1"/>
    <row r="2" ht="4.5" customHeight="1"/>
    <row r="3" spans="2:22" ht="7.5" customHeight="1">
      <c r="B3" s="283"/>
      <c r="C3" s="284"/>
      <c r="D3" s="284"/>
      <c r="E3" s="284"/>
      <c r="F3" s="284"/>
      <c r="G3" s="284"/>
      <c r="H3" s="284"/>
      <c r="I3" s="284"/>
      <c r="J3" s="284"/>
      <c r="K3" s="284"/>
      <c r="L3" s="284"/>
      <c r="M3" s="284"/>
      <c r="N3" s="284"/>
      <c r="O3" s="284"/>
      <c r="P3" s="284"/>
      <c r="Q3" s="284"/>
      <c r="R3" s="284"/>
      <c r="S3" s="284"/>
      <c r="T3" s="284"/>
      <c r="U3" s="284"/>
      <c r="V3" s="285"/>
    </row>
    <row r="4" spans="2:22" ht="12.75">
      <c r="B4" s="286"/>
      <c r="C4" s="287"/>
      <c r="D4" s="288"/>
      <c r="E4" s="288"/>
      <c r="F4" s="288"/>
      <c r="G4" s="288"/>
      <c r="H4" s="288"/>
      <c r="I4" s="288"/>
      <c r="J4" s="288"/>
      <c r="K4" s="288"/>
      <c r="L4" s="288"/>
      <c r="M4" s="288"/>
      <c r="N4" s="288"/>
      <c r="O4" s="288"/>
      <c r="P4" s="288"/>
      <c r="Q4" s="288"/>
      <c r="R4" s="288"/>
      <c r="S4" s="288"/>
      <c r="T4" s="288"/>
      <c r="U4" s="289"/>
      <c r="V4" s="290"/>
    </row>
    <row r="5" spans="2:22" ht="15" customHeight="1">
      <c r="B5" s="286"/>
      <c r="C5" s="291"/>
      <c r="D5" s="292"/>
      <c r="E5" s="292"/>
      <c r="F5" s="292"/>
      <c r="G5" s="292"/>
      <c r="H5" s="292"/>
      <c r="I5" s="292"/>
      <c r="J5" s="292"/>
      <c r="K5" s="292"/>
      <c r="L5" s="363" t="s">
        <v>323</v>
      </c>
      <c r="M5" s="292"/>
      <c r="N5" s="292"/>
      <c r="O5" s="292"/>
      <c r="P5" s="292"/>
      <c r="Q5" s="292"/>
      <c r="R5" s="292"/>
      <c r="S5" s="292"/>
      <c r="T5" s="292"/>
      <c r="U5" s="294"/>
      <c r="V5" s="290"/>
    </row>
    <row r="6" spans="2:22" ht="14.25">
      <c r="B6" s="286"/>
      <c r="C6" s="291"/>
      <c r="D6" s="292"/>
      <c r="E6" s="292"/>
      <c r="F6" s="292"/>
      <c r="G6" s="292"/>
      <c r="H6" s="292"/>
      <c r="I6" s="475" t="s">
        <v>258</v>
      </c>
      <c r="J6" s="475"/>
      <c r="K6" s="295"/>
      <c r="L6" s="296"/>
      <c r="M6" s="295"/>
      <c r="N6" s="297"/>
      <c r="O6" s="297"/>
      <c r="P6" s="476" t="s">
        <v>259</v>
      </c>
      <c r="Q6" s="476"/>
      <c r="R6" s="297"/>
      <c r="S6" s="292"/>
      <c r="T6" s="292"/>
      <c r="U6" s="294"/>
      <c r="V6" s="290"/>
    </row>
    <row r="7" spans="2:22" ht="14.25">
      <c r="B7" s="286"/>
      <c r="C7" s="291"/>
      <c r="D7" s="292"/>
      <c r="E7" s="292"/>
      <c r="F7" s="292"/>
      <c r="G7" s="292"/>
      <c r="H7" s="292"/>
      <c r="I7" s="475"/>
      <c r="J7" s="475"/>
      <c r="K7" s="295"/>
      <c r="L7" s="295"/>
      <c r="M7" s="295"/>
      <c r="N7" s="297"/>
      <c r="O7" s="297"/>
      <c r="P7" s="476" t="s">
        <v>260</v>
      </c>
      <c r="Q7" s="476"/>
      <c r="R7" s="297"/>
      <c r="S7" s="292"/>
      <c r="T7" s="292"/>
      <c r="U7" s="294"/>
      <c r="V7" s="290"/>
    </row>
    <row r="8" spans="2:22" ht="12.75" customHeight="1">
      <c r="B8" s="286"/>
      <c r="C8" s="291"/>
      <c r="D8" s="292"/>
      <c r="E8" s="292"/>
      <c r="F8" s="292"/>
      <c r="G8" s="292"/>
      <c r="H8" s="292"/>
      <c r="I8" s="477" t="s">
        <v>261</v>
      </c>
      <c r="J8" s="477"/>
      <c r="K8" s="477"/>
      <c r="L8" s="477"/>
      <c r="M8" s="477"/>
      <c r="N8" s="477"/>
      <c r="O8" s="477"/>
      <c r="P8" s="476" t="s">
        <v>262</v>
      </c>
      <c r="Q8" s="476"/>
      <c r="R8" s="297"/>
      <c r="S8" s="292"/>
      <c r="T8" s="292"/>
      <c r="U8" s="294"/>
      <c r="V8" s="290"/>
    </row>
    <row r="9" spans="2:22" ht="10.5" customHeight="1">
      <c r="B9" s="286"/>
      <c r="C9" s="291"/>
      <c r="D9" s="292"/>
      <c r="E9" s="292"/>
      <c r="F9" s="292"/>
      <c r="G9" s="292"/>
      <c r="H9" s="292"/>
      <c r="I9" s="477"/>
      <c r="J9" s="477"/>
      <c r="K9" s="477"/>
      <c r="L9" s="477"/>
      <c r="M9" s="477"/>
      <c r="N9" s="477"/>
      <c r="O9" s="477"/>
      <c r="P9" s="292"/>
      <c r="Q9" s="292"/>
      <c r="R9" s="292"/>
      <c r="S9" s="292"/>
      <c r="T9" s="292"/>
      <c r="U9" s="294"/>
      <c r="V9" s="290"/>
    </row>
    <row r="10" spans="2:22" ht="10.5" customHeight="1">
      <c r="B10" s="286"/>
      <c r="C10" s="291"/>
      <c r="D10" s="292"/>
      <c r="E10" s="292"/>
      <c r="F10" s="292"/>
      <c r="G10" s="292"/>
      <c r="H10" s="292"/>
      <c r="I10" s="478" t="s">
        <v>263</v>
      </c>
      <c r="J10" s="478"/>
      <c r="K10" s="478"/>
      <c r="L10" s="478"/>
      <c r="M10" s="295"/>
      <c r="N10" s="298"/>
      <c r="O10" s="292"/>
      <c r="P10" s="292"/>
      <c r="Q10" s="292"/>
      <c r="R10" s="292"/>
      <c r="S10" s="292"/>
      <c r="T10" s="292"/>
      <c r="U10" s="294"/>
      <c r="V10" s="290"/>
    </row>
    <row r="11" spans="2:22" ht="10.5" customHeight="1">
      <c r="B11" s="286"/>
      <c r="C11" s="291"/>
      <c r="D11" s="292"/>
      <c r="E11" s="292"/>
      <c r="F11" s="292"/>
      <c r="G11" s="292"/>
      <c r="H11" s="292"/>
      <c r="I11" s="478"/>
      <c r="J11" s="478"/>
      <c r="K11" s="478"/>
      <c r="L11" s="478"/>
      <c r="M11" s="295"/>
      <c r="N11" s="298"/>
      <c r="O11" s="292"/>
      <c r="P11" s="292"/>
      <c r="Q11" s="292"/>
      <c r="R11" s="292"/>
      <c r="S11" s="292"/>
      <c r="T11" s="292"/>
      <c r="U11" s="294"/>
      <c r="V11" s="290"/>
    </row>
    <row r="12" spans="2:22" ht="10.5" customHeight="1">
      <c r="B12" s="286"/>
      <c r="C12" s="291"/>
      <c r="D12" s="292"/>
      <c r="E12" s="292"/>
      <c r="F12" s="292"/>
      <c r="G12" s="292"/>
      <c r="H12" s="292"/>
      <c r="I12" s="478"/>
      <c r="J12" s="478"/>
      <c r="K12" s="478"/>
      <c r="L12" s="478"/>
      <c r="M12" s="292"/>
      <c r="N12" s="292"/>
      <c r="O12" s="292"/>
      <c r="P12" s="292"/>
      <c r="Q12" s="292"/>
      <c r="R12" s="292"/>
      <c r="S12" s="292"/>
      <c r="T12" s="292"/>
      <c r="U12" s="294"/>
      <c r="V12" s="290"/>
    </row>
    <row r="13" spans="2:22" ht="12.75">
      <c r="B13" s="286"/>
      <c r="C13" s="291"/>
      <c r="D13" s="292"/>
      <c r="E13" s="292"/>
      <c r="F13" s="292" t="s">
        <v>264</v>
      </c>
      <c r="G13" s="292"/>
      <c r="H13" s="292"/>
      <c r="I13" s="299" t="s">
        <v>265</v>
      </c>
      <c r="J13" s="292"/>
      <c r="K13" s="292"/>
      <c r="L13" s="292"/>
      <c r="M13" s="292"/>
      <c r="N13" s="292"/>
      <c r="O13" s="292"/>
      <c r="P13" s="292"/>
      <c r="Q13" s="292"/>
      <c r="R13" s="292"/>
      <c r="S13" s="292"/>
      <c r="T13" s="292"/>
      <c r="U13" s="294"/>
      <c r="V13" s="290"/>
    </row>
    <row r="14" spans="1:256" ht="12.75" customHeight="1">
      <c r="A14"/>
      <c r="B14" s="4"/>
      <c r="C14" s="123"/>
      <c r="D14" s="11"/>
      <c r="E14" s="11"/>
      <c r="F14" s="11"/>
      <c r="G14" s="11"/>
      <c r="H14" s="11"/>
      <c r="I14" s="11" t="s">
        <v>266</v>
      </c>
      <c r="J14" s="11"/>
      <c r="K14" s="11"/>
      <c r="L14" s="11"/>
      <c r="M14" s="11"/>
      <c r="N14" s="11"/>
      <c r="O14" s="11"/>
      <c r="P14" s="11"/>
      <c r="Q14" s="11"/>
      <c r="R14" s="11"/>
      <c r="S14" s="364"/>
      <c r="T14" s="365"/>
      <c r="U14" s="122"/>
      <c r="V14" s="5"/>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c r="B15" s="4"/>
      <c r="C15" s="123"/>
      <c r="D15" s="11"/>
      <c r="E15" s="11"/>
      <c r="F15" s="11"/>
      <c r="G15" s="11"/>
      <c r="H15" s="11"/>
      <c r="I15" s="301" t="s">
        <v>267</v>
      </c>
      <c r="J15" s="11"/>
      <c r="K15" s="11"/>
      <c r="L15" s="11"/>
      <c r="M15" s="11"/>
      <c r="N15" s="11"/>
      <c r="O15" s="11"/>
      <c r="P15" s="11"/>
      <c r="Q15" s="11"/>
      <c r="R15" s="11"/>
      <c r="S15" s="364"/>
      <c r="T15" s="365"/>
      <c r="U15" s="122"/>
      <c r="V15" s="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8.25" customHeight="1">
      <c r="A16"/>
      <c r="B16" s="4"/>
      <c r="C16" s="123"/>
      <c r="D16" s="11"/>
      <c r="E16" s="11"/>
      <c r="F16" s="301"/>
      <c r="G16" s="11"/>
      <c r="H16" s="11"/>
      <c r="I16" s="301"/>
      <c r="J16" s="11"/>
      <c r="K16" s="11"/>
      <c r="L16" s="11"/>
      <c r="M16" s="11"/>
      <c r="N16" s="11"/>
      <c r="O16" s="11"/>
      <c r="P16" s="11"/>
      <c r="Q16" s="11"/>
      <c r="R16" s="11"/>
      <c r="S16" s="364"/>
      <c r="T16" s="365"/>
      <c r="U16" s="122"/>
      <c r="V16" s="5"/>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22" ht="11.25" customHeight="1">
      <c r="B17" s="286"/>
      <c r="C17" s="291"/>
      <c r="D17" s="292"/>
      <c r="E17" s="292"/>
      <c r="F17" s="292"/>
      <c r="G17" s="292"/>
      <c r="H17" s="292"/>
      <c r="I17" s="292"/>
      <c r="J17" s="292"/>
      <c r="K17" s="292"/>
      <c r="L17" s="292"/>
      <c r="M17" s="292"/>
      <c r="N17" s="292"/>
      <c r="O17" s="292"/>
      <c r="P17" s="292"/>
      <c r="Q17" s="292"/>
      <c r="R17" s="292"/>
      <c r="S17" s="292"/>
      <c r="T17" s="302"/>
      <c r="U17" s="294"/>
      <c r="V17" s="290"/>
    </row>
    <row r="18" spans="2:22" ht="20.25" customHeight="1">
      <c r="B18" s="286"/>
      <c r="C18" s="291"/>
      <c r="D18" s="479" t="s">
        <v>324</v>
      </c>
      <c r="E18" s="479"/>
      <c r="F18" s="479"/>
      <c r="G18" s="479"/>
      <c r="H18" s="479"/>
      <c r="I18" s="479"/>
      <c r="J18" s="479"/>
      <c r="K18" s="479"/>
      <c r="L18" s="479"/>
      <c r="M18" s="479"/>
      <c r="N18" s="479"/>
      <c r="O18" s="479"/>
      <c r="P18" s="479"/>
      <c r="Q18" s="479"/>
      <c r="R18" s="479"/>
      <c r="S18" s="479"/>
      <c r="T18" s="479"/>
      <c r="U18" s="294"/>
      <c r="V18" s="290"/>
    </row>
    <row r="19" spans="2:22" ht="23.25">
      <c r="B19" s="286"/>
      <c r="C19" s="291"/>
      <c r="D19" s="292"/>
      <c r="E19" s="479" t="s">
        <v>308</v>
      </c>
      <c r="F19" s="479"/>
      <c r="G19" s="479"/>
      <c r="H19" s="479"/>
      <c r="I19" s="479"/>
      <c r="J19" s="479"/>
      <c r="K19" s="479"/>
      <c r="L19" s="479"/>
      <c r="M19" s="479"/>
      <c r="N19" s="479"/>
      <c r="O19" s="479"/>
      <c r="P19" s="479"/>
      <c r="Q19" s="479"/>
      <c r="R19" s="479"/>
      <c r="S19" s="479"/>
      <c r="T19" s="479"/>
      <c r="U19" s="294"/>
      <c r="V19" s="290"/>
    </row>
    <row r="20" spans="2:22" ht="18" customHeight="1">
      <c r="B20" s="286"/>
      <c r="C20" s="291"/>
      <c r="D20" s="292"/>
      <c r="E20" s="292"/>
      <c r="F20" s="303"/>
      <c r="G20" s="303"/>
      <c r="H20" s="303"/>
      <c r="I20" s="303"/>
      <c r="J20" s="303"/>
      <c r="K20" s="303"/>
      <c r="L20" s="303"/>
      <c r="M20" s="303"/>
      <c r="N20" s="303"/>
      <c r="O20" s="303"/>
      <c r="P20" s="303"/>
      <c r="Q20" s="303"/>
      <c r="R20" s="303"/>
      <c r="S20" s="303"/>
      <c r="T20" s="292"/>
      <c r="U20" s="294"/>
      <c r="V20" s="290"/>
    </row>
    <row r="21" spans="2:22" ht="4.5" customHeight="1">
      <c r="B21" s="286"/>
      <c r="C21" s="291"/>
      <c r="D21" s="304"/>
      <c r="E21" s="305"/>
      <c r="F21" s="305"/>
      <c r="G21" s="305"/>
      <c r="H21" s="305"/>
      <c r="I21" s="305"/>
      <c r="J21" s="305"/>
      <c r="K21" s="305"/>
      <c r="L21" s="305"/>
      <c r="M21" s="305"/>
      <c r="N21" s="305"/>
      <c r="O21" s="305"/>
      <c r="P21" s="305"/>
      <c r="Q21" s="305"/>
      <c r="R21" s="305"/>
      <c r="S21" s="305"/>
      <c r="T21" s="306"/>
      <c r="U21" s="294"/>
      <c r="V21" s="290"/>
    </row>
    <row r="22" spans="2:22" s="307" customFormat="1" ht="21" customHeight="1">
      <c r="B22" s="308"/>
      <c r="C22" s="309"/>
      <c r="D22" s="310" t="s">
        <v>325</v>
      </c>
      <c r="E22" s="311"/>
      <c r="F22" s="311"/>
      <c r="G22" s="311"/>
      <c r="H22" s="311"/>
      <c r="I22" s="312"/>
      <c r="J22" s="312"/>
      <c r="K22" s="312"/>
      <c r="L22" s="312"/>
      <c r="M22" s="312"/>
      <c r="N22" s="312"/>
      <c r="O22" s="312"/>
      <c r="P22" s="312"/>
      <c r="Q22" s="312"/>
      <c r="R22" s="312"/>
      <c r="S22" s="312"/>
      <c r="T22" s="313"/>
      <c r="U22" s="314"/>
      <c r="V22" s="315"/>
    </row>
    <row r="23" spans="2:22" s="307" customFormat="1" ht="4.5" customHeight="1">
      <c r="B23" s="308"/>
      <c r="C23" s="309"/>
      <c r="D23" s="316"/>
      <c r="E23" s="312"/>
      <c r="F23" s="312"/>
      <c r="G23" s="312"/>
      <c r="H23" s="312"/>
      <c r="I23" s="312"/>
      <c r="J23" s="312"/>
      <c r="K23" s="312"/>
      <c r="L23" s="312"/>
      <c r="M23" s="312"/>
      <c r="N23" s="312"/>
      <c r="O23" s="312"/>
      <c r="P23" s="312"/>
      <c r="Q23" s="312"/>
      <c r="R23" s="312"/>
      <c r="S23" s="312"/>
      <c r="T23" s="313"/>
      <c r="U23" s="314"/>
      <c r="V23" s="315"/>
    </row>
    <row r="24" spans="2:22" ht="15.75" customHeight="1">
      <c r="B24" s="286"/>
      <c r="C24" s="291"/>
      <c r="D24" s="480" t="s">
        <v>271</v>
      </c>
      <c r="E24" s="480"/>
      <c r="F24" s="480"/>
      <c r="G24" s="480"/>
      <c r="H24" s="480"/>
      <c r="I24" s="480"/>
      <c r="J24" s="480"/>
      <c r="K24" s="480"/>
      <c r="L24" s="481"/>
      <c r="M24" s="481"/>
      <c r="N24" s="481"/>
      <c r="O24" s="481"/>
      <c r="P24" s="481"/>
      <c r="Q24" s="481"/>
      <c r="R24" s="481"/>
      <c r="S24" s="481"/>
      <c r="T24" s="481"/>
      <c r="U24" s="294"/>
      <c r="V24" s="290"/>
    </row>
    <row r="25" spans="2:22" ht="15.75" customHeight="1">
      <c r="B25" s="286"/>
      <c r="C25" s="291"/>
      <c r="D25" s="480" t="s">
        <v>272</v>
      </c>
      <c r="E25" s="480"/>
      <c r="F25" s="480"/>
      <c r="G25" s="480"/>
      <c r="H25" s="480"/>
      <c r="I25" s="480"/>
      <c r="J25" s="480"/>
      <c r="K25" s="480"/>
      <c r="L25" s="481"/>
      <c r="M25" s="481"/>
      <c r="N25" s="481"/>
      <c r="O25" s="481"/>
      <c r="P25" s="481"/>
      <c r="Q25" s="481"/>
      <c r="R25" s="481"/>
      <c r="S25" s="481"/>
      <c r="T25" s="481"/>
      <c r="U25" s="294"/>
      <c r="V25" s="290"/>
    </row>
    <row r="26" spans="2:22" ht="15.75" customHeight="1">
      <c r="B26" s="286"/>
      <c r="C26" s="291"/>
      <c r="D26" s="480" t="s">
        <v>273</v>
      </c>
      <c r="E26" s="480"/>
      <c r="F26" s="480"/>
      <c r="G26" s="480"/>
      <c r="H26" s="480"/>
      <c r="I26" s="480"/>
      <c r="J26" s="480"/>
      <c r="K26" s="480"/>
      <c r="L26" s="481"/>
      <c r="M26" s="481"/>
      <c r="N26" s="481"/>
      <c r="O26" s="481"/>
      <c r="P26" s="481"/>
      <c r="Q26" s="481"/>
      <c r="R26" s="481"/>
      <c r="S26" s="481"/>
      <c r="T26" s="481"/>
      <c r="U26" s="294"/>
      <c r="V26" s="290"/>
    </row>
    <row r="27" spans="2:22" ht="15.75" customHeight="1">
      <c r="B27" s="286"/>
      <c r="C27" s="291"/>
      <c r="D27" s="480" t="s">
        <v>274</v>
      </c>
      <c r="E27" s="480"/>
      <c r="F27" s="480"/>
      <c r="G27" s="480"/>
      <c r="H27" s="480"/>
      <c r="I27" s="480"/>
      <c r="J27" s="480"/>
      <c r="K27" s="480"/>
      <c r="L27" s="481"/>
      <c r="M27" s="481"/>
      <c r="N27" s="481"/>
      <c r="O27" s="481"/>
      <c r="P27" s="481"/>
      <c r="Q27" s="481"/>
      <c r="R27" s="481"/>
      <c r="S27" s="481"/>
      <c r="T27" s="481"/>
      <c r="U27" s="294"/>
      <c r="V27" s="290"/>
    </row>
    <row r="28" spans="2:22" ht="31.5" customHeight="1">
      <c r="B28" s="286"/>
      <c r="C28" s="291"/>
      <c r="D28" s="480" t="s">
        <v>275</v>
      </c>
      <c r="E28" s="480"/>
      <c r="F28" s="480"/>
      <c r="G28" s="480"/>
      <c r="H28" s="480"/>
      <c r="I28" s="480"/>
      <c r="J28" s="480"/>
      <c r="K28" s="480"/>
      <c r="L28" s="482"/>
      <c r="M28" s="482"/>
      <c r="N28" s="482"/>
      <c r="O28" s="482"/>
      <c r="P28" s="482"/>
      <c r="Q28" s="482"/>
      <c r="R28" s="482"/>
      <c r="S28" s="482"/>
      <c r="T28" s="482"/>
      <c r="U28" s="294"/>
      <c r="V28" s="290"/>
    </row>
    <row r="29" spans="2:22" ht="15.75" customHeight="1">
      <c r="B29" s="286"/>
      <c r="C29" s="291"/>
      <c r="D29" s="480" t="s">
        <v>276</v>
      </c>
      <c r="E29" s="480"/>
      <c r="F29" s="480"/>
      <c r="G29" s="480"/>
      <c r="H29" s="480"/>
      <c r="I29" s="480"/>
      <c r="J29" s="480"/>
      <c r="K29" s="480"/>
      <c r="L29" s="481"/>
      <c r="M29" s="481"/>
      <c r="N29" s="481"/>
      <c r="O29" s="481"/>
      <c r="P29" s="481"/>
      <c r="Q29" s="481"/>
      <c r="R29" s="481"/>
      <c r="S29" s="481"/>
      <c r="T29" s="481"/>
      <c r="U29" s="294"/>
      <c r="V29" s="290"/>
    </row>
    <row r="30" spans="2:22" ht="15.75" customHeight="1">
      <c r="B30" s="286"/>
      <c r="C30" s="291"/>
      <c r="D30" s="480" t="s">
        <v>326</v>
      </c>
      <c r="E30" s="480"/>
      <c r="F30" s="480"/>
      <c r="G30" s="480"/>
      <c r="H30" s="480"/>
      <c r="I30" s="480"/>
      <c r="J30" s="480"/>
      <c r="K30" s="480"/>
      <c r="L30" s="501"/>
      <c r="M30" s="501"/>
      <c r="N30" s="369"/>
      <c r="O30" s="370"/>
      <c r="P30" s="371"/>
      <c r="Q30" s="371"/>
      <c r="R30" s="371"/>
      <c r="S30" s="371"/>
      <c r="T30" s="372"/>
      <c r="U30" s="294"/>
      <c r="V30" s="290"/>
    </row>
    <row r="31" spans="2:22" ht="4.5" customHeight="1">
      <c r="B31" s="286"/>
      <c r="C31" s="291"/>
      <c r="D31" s="317"/>
      <c r="E31" s="318"/>
      <c r="F31" s="318"/>
      <c r="G31" s="318"/>
      <c r="H31" s="318"/>
      <c r="I31" s="318"/>
      <c r="J31" s="318"/>
      <c r="K31" s="318"/>
      <c r="L31" s="319"/>
      <c r="M31" s="320"/>
      <c r="N31" s="320"/>
      <c r="O31" s="320"/>
      <c r="P31" s="320"/>
      <c r="Q31" s="320"/>
      <c r="R31" s="320"/>
      <c r="S31" s="320"/>
      <c r="T31" s="321"/>
      <c r="U31" s="294"/>
      <c r="V31" s="290"/>
    </row>
    <row r="32" spans="2:22" ht="15.75" customHeight="1">
      <c r="B32" s="286"/>
      <c r="C32" s="291"/>
      <c r="D32" s="322"/>
      <c r="E32" s="322"/>
      <c r="F32" s="322"/>
      <c r="G32" s="322"/>
      <c r="H32" s="322"/>
      <c r="I32" s="322"/>
      <c r="J32" s="322"/>
      <c r="K32" s="322"/>
      <c r="L32" s="323"/>
      <c r="M32" s="324"/>
      <c r="N32" s="324"/>
      <c r="O32" s="324"/>
      <c r="P32" s="324"/>
      <c r="Q32" s="324"/>
      <c r="R32" s="324"/>
      <c r="S32" s="324"/>
      <c r="T32" s="324"/>
      <c r="U32" s="294"/>
      <c r="V32" s="290"/>
    </row>
    <row r="33" spans="2:22" ht="5.25" customHeight="1">
      <c r="B33" s="286"/>
      <c r="C33" s="291"/>
      <c r="D33" s="325"/>
      <c r="E33" s="326"/>
      <c r="F33" s="326"/>
      <c r="G33" s="326"/>
      <c r="H33" s="326"/>
      <c r="I33" s="326"/>
      <c r="J33" s="326"/>
      <c r="K33" s="326"/>
      <c r="L33" s="327"/>
      <c r="M33" s="328"/>
      <c r="N33" s="328"/>
      <c r="O33" s="328"/>
      <c r="P33" s="328"/>
      <c r="Q33" s="328"/>
      <c r="R33" s="328"/>
      <c r="S33" s="328"/>
      <c r="T33" s="329"/>
      <c r="U33" s="294"/>
      <c r="V33" s="290"/>
    </row>
    <row r="34" spans="2:22" s="330" customFormat="1" ht="21" customHeight="1">
      <c r="B34" s="331"/>
      <c r="C34" s="332"/>
      <c r="D34" s="310" t="s">
        <v>277</v>
      </c>
      <c r="E34" s="311"/>
      <c r="F34" s="311"/>
      <c r="G34" s="311"/>
      <c r="H34" s="311"/>
      <c r="I34" s="311"/>
      <c r="J34" s="311"/>
      <c r="K34" s="311"/>
      <c r="L34" s="311"/>
      <c r="M34" s="311"/>
      <c r="N34" s="311"/>
      <c r="O34" s="311"/>
      <c r="P34" s="311"/>
      <c r="Q34" s="311"/>
      <c r="R34" s="311"/>
      <c r="S34" s="311"/>
      <c r="T34" s="333"/>
      <c r="U34" s="334"/>
      <c r="V34" s="335"/>
    </row>
    <row r="35" spans="2:22" s="336" customFormat="1" ht="4.5" customHeight="1">
      <c r="B35" s="337"/>
      <c r="C35" s="338"/>
      <c r="D35" s="316"/>
      <c r="E35" s="312"/>
      <c r="F35" s="312"/>
      <c r="G35" s="312"/>
      <c r="H35" s="312"/>
      <c r="I35" s="312"/>
      <c r="J35" s="312"/>
      <c r="K35" s="312"/>
      <c r="L35" s="312"/>
      <c r="M35" s="312"/>
      <c r="N35" s="312"/>
      <c r="O35" s="312"/>
      <c r="P35" s="312"/>
      <c r="Q35" s="312"/>
      <c r="R35" s="312"/>
      <c r="S35" s="312"/>
      <c r="T35" s="313"/>
      <c r="U35" s="339"/>
      <c r="V35" s="340"/>
    </row>
    <row r="36" spans="2:22" s="307" customFormat="1" ht="15.75" customHeight="1">
      <c r="B36" s="308"/>
      <c r="C36" s="309"/>
      <c r="D36" s="480" t="s">
        <v>278</v>
      </c>
      <c r="E36" s="480"/>
      <c r="F36" s="480"/>
      <c r="G36" s="480"/>
      <c r="H36" s="480"/>
      <c r="I36" s="483">
        <f>SÖZLEŞME!$Y$7</f>
        <v>0</v>
      </c>
      <c r="J36" s="483"/>
      <c r="K36" s="483"/>
      <c r="L36" s="483"/>
      <c r="M36" s="483"/>
      <c r="N36" s="483"/>
      <c r="O36" s="483"/>
      <c r="P36" s="483"/>
      <c r="Q36" s="483"/>
      <c r="R36" s="483"/>
      <c r="S36" s="483"/>
      <c r="T36" s="483"/>
      <c r="U36" s="314"/>
      <c r="V36" s="315"/>
    </row>
    <row r="37" spans="2:22" s="307" customFormat="1" ht="15.75" customHeight="1">
      <c r="B37" s="308"/>
      <c r="C37" s="309"/>
      <c r="D37" s="480" t="s">
        <v>279</v>
      </c>
      <c r="E37" s="480"/>
      <c r="F37" s="480"/>
      <c r="G37" s="480"/>
      <c r="H37" s="480"/>
      <c r="I37" s="483"/>
      <c r="J37" s="483"/>
      <c r="K37" s="483"/>
      <c r="L37" s="483"/>
      <c r="M37" s="483"/>
      <c r="N37" s="483"/>
      <c r="O37" s="483"/>
      <c r="P37" s="483"/>
      <c r="Q37" s="483"/>
      <c r="R37" s="483"/>
      <c r="S37" s="483"/>
      <c r="T37" s="483"/>
      <c r="U37" s="314"/>
      <c r="V37" s="315"/>
    </row>
    <row r="38" spans="2:22" s="307" customFormat="1" ht="15.75" customHeight="1">
      <c r="B38" s="308"/>
      <c r="C38" s="309"/>
      <c r="D38" s="480" t="s">
        <v>280</v>
      </c>
      <c r="E38" s="480"/>
      <c r="F38" s="480"/>
      <c r="G38" s="480"/>
      <c r="H38" s="480"/>
      <c r="I38" s="483">
        <f>SÖZLEŞME!Y8</f>
        <v>0</v>
      </c>
      <c r="J38" s="483"/>
      <c r="K38" s="483"/>
      <c r="L38" s="483"/>
      <c r="M38" s="483"/>
      <c r="N38" s="483"/>
      <c r="O38" s="483"/>
      <c r="P38" s="483"/>
      <c r="Q38" s="483"/>
      <c r="R38" s="483"/>
      <c r="S38" s="483"/>
      <c r="T38" s="483"/>
      <c r="U38" s="314"/>
      <c r="V38" s="315"/>
    </row>
    <row r="39" spans="2:22" s="307" customFormat="1" ht="15.75" customHeight="1">
      <c r="B39" s="308"/>
      <c r="C39" s="309"/>
      <c r="D39" s="480" t="s">
        <v>281</v>
      </c>
      <c r="E39" s="480"/>
      <c r="F39" s="480"/>
      <c r="G39" s="480"/>
      <c r="H39" s="480"/>
      <c r="I39" s="483">
        <f>SÖZLEŞME!Y10</f>
        <v>0</v>
      </c>
      <c r="J39" s="483"/>
      <c r="K39" s="483"/>
      <c r="L39" s="483"/>
      <c r="M39" s="483"/>
      <c r="N39" s="483"/>
      <c r="O39" s="483"/>
      <c r="P39" s="483"/>
      <c r="Q39" s="483"/>
      <c r="R39" s="483"/>
      <c r="S39" s="483"/>
      <c r="T39" s="483"/>
      <c r="U39" s="314"/>
      <c r="V39" s="315"/>
    </row>
    <row r="40" spans="2:22" s="307" customFormat="1" ht="15.75" customHeight="1">
      <c r="B40" s="308"/>
      <c r="C40" s="309"/>
      <c r="D40" s="480" t="s">
        <v>282</v>
      </c>
      <c r="E40" s="480"/>
      <c r="F40" s="480"/>
      <c r="G40" s="480"/>
      <c r="H40" s="480"/>
      <c r="I40" s="483">
        <f>SÖZLEŞME!$B$17</f>
        <v>0</v>
      </c>
      <c r="J40" s="483"/>
      <c r="K40" s="483"/>
      <c r="L40" s="484" t="s">
        <v>283</v>
      </c>
      <c r="M40" s="484"/>
      <c r="N40" s="484" t="s">
        <v>284</v>
      </c>
      <c r="O40" s="484"/>
      <c r="P40" s="484"/>
      <c r="Q40" s="484" t="s">
        <v>285</v>
      </c>
      <c r="R40" s="484"/>
      <c r="S40" s="484" t="s">
        <v>286</v>
      </c>
      <c r="T40" s="484"/>
      <c r="U40" s="314"/>
      <c r="V40" s="315"/>
    </row>
    <row r="41" spans="2:22" s="307" customFormat="1" ht="15.75" customHeight="1">
      <c r="B41" s="308"/>
      <c r="C41" s="309"/>
      <c r="D41" s="480" t="s">
        <v>11</v>
      </c>
      <c r="E41" s="480"/>
      <c r="F41" s="480"/>
      <c r="G41" s="480"/>
      <c r="H41" s="480"/>
      <c r="I41" s="483">
        <f>SÖZLEŞME!$G$17</f>
        <v>0</v>
      </c>
      <c r="J41" s="483"/>
      <c r="K41" s="483"/>
      <c r="L41" s="484">
        <f>SÖZLEŞME!G27</f>
        <v>0</v>
      </c>
      <c r="M41" s="484"/>
      <c r="N41" s="485" t="str">
        <f>SÖZLEŞME!$B$27</f>
        <v>Konut </v>
      </c>
      <c r="O41" s="485"/>
      <c r="P41" s="485"/>
      <c r="Q41" s="485">
        <f>SÖZLEŞME!K27</f>
        <v>2</v>
      </c>
      <c r="R41" s="485"/>
      <c r="S41" s="486">
        <f>'ASGARİ ÜCRET FORMU'!$F$21</f>
        <v>250</v>
      </c>
      <c r="T41" s="486"/>
      <c r="U41" s="314"/>
      <c r="V41" s="315"/>
    </row>
    <row r="42" spans="2:22" s="307" customFormat="1" ht="15.75" customHeight="1">
      <c r="B42" s="308"/>
      <c r="C42" s="309"/>
      <c r="D42" s="480" t="s">
        <v>287</v>
      </c>
      <c r="E42" s="480"/>
      <c r="F42" s="480"/>
      <c r="G42" s="480"/>
      <c r="H42" s="480"/>
      <c r="I42" s="483"/>
      <c r="J42" s="483"/>
      <c r="K42" s="483"/>
      <c r="L42" s="484"/>
      <c r="M42" s="484"/>
      <c r="N42" s="485"/>
      <c r="O42" s="485"/>
      <c r="P42" s="485"/>
      <c r="Q42" s="485"/>
      <c r="R42" s="485"/>
      <c r="S42" s="486"/>
      <c r="T42" s="486"/>
      <c r="U42" s="314"/>
      <c r="V42" s="315"/>
    </row>
    <row r="43" spans="2:22" s="307" customFormat="1" ht="15.75" customHeight="1">
      <c r="B43" s="308"/>
      <c r="C43" s="309"/>
      <c r="D43" s="480" t="s">
        <v>12</v>
      </c>
      <c r="E43" s="480"/>
      <c r="F43" s="480"/>
      <c r="G43" s="480"/>
      <c r="H43" s="480"/>
      <c r="I43" s="483">
        <f>SÖZLEŞME!$K$17</f>
        <v>0</v>
      </c>
      <c r="J43" s="483"/>
      <c r="K43" s="483"/>
      <c r="L43" s="484"/>
      <c r="M43" s="484"/>
      <c r="N43" s="485"/>
      <c r="O43" s="485"/>
      <c r="P43" s="485"/>
      <c r="Q43" s="485"/>
      <c r="R43" s="485"/>
      <c r="S43" s="486"/>
      <c r="T43" s="486"/>
      <c r="U43" s="314"/>
      <c r="V43" s="315"/>
    </row>
    <row r="44" spans="2:22" s="307" customFormat="1" ht="15.75" customHeight="1">
      <c r="B44" s="308"/>
      <c r="C44" s="309"/>
      <c r="D44" s="480" t="s">
        <v>288</v>
      </c>
      <c r="E44" s="480"/>
      <c r="F44" s="480"/>
      <c r="G44" s="480"/>
      <c r="H44" s="480"/>
      <c r="I44" s="481"/>
      <c r="J44" s="481"/>
      <c r="K44" s="481"/>
      <c r="L44" s="484"/>
      <c r="M44" s="484"/>
      <c r="N44" s="485"/>
      <c r="O44" s="485"/>
      <c r="P44" s="485"/>
      <c r="Q44" s="485"/>
      <c r="R44" s="485"/>
      <c r="S44" s="486"/>
      <c r="T44" s="486"/>
      <c r="U44" s="314"/>
      <c r="V44" s="315"/>
    </row>
    <row r="45" spans="2:22" s="307" customFormat="1" ht="15.75" customHeight="1">
      <c r="B45" s="308"/>
      <c r="C45" s="309"/>
      <c r="D45" s="480" t="s">
        <v>13</v>
      </c>
      <c r="E45" s="480"/>
      <c r="F45" s="480"/>
      <c r="G45" s="480"/>
      <c r="H45" s="480"/>
      <c r="I45" s="483">
        <f>SÖZLEŞME!$R$17</f>
        <v>0</v>
      </c>
      <c r="J45" s="483"/>
      <c r="K45" s="483"/>
      <c r="L45" s="484"/>
      <c r="M45" s="484"/>
      <c r="N45" s="485"/>
      <c r="O45" s="485"/>
      <c r="P45" s="485"/>
      <c r="Q45" s="485"/>
      <c r="R45" s="485"/>
      <c r="S45" s="486"/>
      <c r="T45" s="486"/>
      <c r="U45" s="314"/>
      <c r="V45" s="315"/>
    </row>
    <row r="46" spans="2:22" s="307" customFormat="1" ht="15.75" customHeight="1">
      <c r="B46" s="308"/>
      <c r="C46" s="309"/>
      <c r="D46" s="480" t="s">
        <v>14</v>
      </c>
      <c r="E46" s="480"/>
      <c r="F46" s="480"/>
      <c r="G46" s="480"/>
      <c r="H46" s="480"/>
      <c r="I46" s="487">
        <f>SÖZLEŞME!$AA$17</f>
        <v>0</v>
      </c>
      <c r="J46" s="487"/>
      <c r="K46" s="487"/>
      <c r="L46" s="484"/>
      <c r="M46" s="484"/>
      <c r="N46" s="485"/>
      <c r="O46" s="485"/>
      <c r="P46" s="485"/>
      <c r="Q46" s="485"/>
      <c r="R46" s="485"/>
      <c r="S46" s="486"/>
      <c r="T46" s="486"/>
      <c r="U46" s="314"/>
      <c r="V46" s="315"/>
    </row>
    <row r="47" spans="2:22" s="307" customFormat="1" ht="15.75" customHeight="1">
      <c r="B47" s="308"/>
      <c r="C47" s="309"/>
      <c r="D47" s="480" t="s">
        <v>15</v>
      </c>
      <c r="E47" s="480"/>
      <c r="F47" s="480"/>
      <c r="G47" s="480"/>
      <c r="H47" s="480"/>
      <c r="I47" s="483">
        <f>SÖZLEŞME!$AF$17</f>
        <v>0</v>
      </c>
      <c r="J47" s="483"/>
      <c r="K47" s="483"/>
      <c r="L47" s="488" t="s">
        <v>289</v>
      </c>
      <c r="M47" s="488"/>
      <c r="N47" s="488"/>
      <c r="O47" s="489">
        <f>'ASGARİ ÜCRET FORMU'!$F$22</f>
        <v>2</v>
      </c>
      <c r="P47" s="489"/>
      <c r="Q47" s="488" t="s">
        <v>290</v>
      </c>
      <c r="R47" s="488"/>
      <c r="S47" s="486">
        <f>SUM(S41:S46)</f>
        <v>250</v>
      </c>
      <c r="T47" s="486"/>
      <c r="U47" s="314"/>
      <c r="V47" s="315"/>
    </row>
    <row r="48" spans="2:22" s="307" customFormat="1" ht="15.75" customHeight="1">
      <c r="B48" s="308"/>
      <c r="C48" s="309"/>
      <c r="D48" s="480" t="s">
        <v>16</v>
      </c>
      <c r="E48" s="480"/>
      <c r="F48" s="480"/>
      <c r="G48" s="480"/>
      <c r="H48" s="480"/>
      <c r="I48" s="487">
        <f>SÖZLEŞME!$AJ$17</f>
        <v>0</v>
      </c>
      <c r="J48" s="487"/>
      <c r="K48" s="487"/>
      <c r="L48" s="488" t="s">
        <v>291</v>
      </c>
      <c r="M48" s="488"/>
      <c r="N48" s="488"/>
      <c r="O48" s="489" t="str">
        <f>IF(O47=2,"SOBALI",IF(O47="3A","KAT KALORİFERLİ",IF(O47="3B","MERKEZİ KALORİFERLİ",0)))</f>
        <v>SOBALI</v>
      </c>
      <c r="P48" s="489"/>
      <c r="Q48" s="488" t="s">
        <v>292</v>
      </c>
      <c r="R48" s="488"/>
      <c r="S48" s="484" t="s">
        <v>293</v>
      </c>
      <c r="T48" s="484"/>
      <c r="U48" s="314"/>
      <c r="V48" s="315"/>
    </row>
    <row r="49" spans="2:22" s="307" customFormat="1" ht="49.5" customHeight="1">
      <c r="B49" s="308"/>
      <c r="C49" s="309"/>
      <c r="D49" s="480" t="s">
        <v>294</v>
      </c>
      <c r="E49" s="480"/>
      <c r="F49" s="480"/>
      <c r="G49" s="480"/>
      <c r="H49" s="480"/>
      <c r="I49" s="490" t="str">
        <f>IF(O47&lt;3,"ISI YALITIM   ve                     SIHHİ TESİSATI","ISI YALITIM,                            SIHHİ TESİSATI  ve                     KALORİFER TESİSATI ")</f>
        <v>ISI YALITIM   ve                     SIHHİ TESİSATI</v>
      </c>
      <c r="J49" s="490"/>
      <c r="K49" s="490"/>
      <c r="L49" s="491" t="s">
        <v>295</v>
      </c>
      <c r="M49" s="491"/>
      <c r="N49" s="491"/>
      <c r="O49" s="492"/>
      <c r="P49" s="492"/>
      <c r="Q49" s="492"/>
      <c r="R49" s="492"/>
      <c r="S49" s="492"/>
      <c r="T49" s="492"/>
      <c r="U49" s="314"/>
      <c r="V49" s="315"/>
    </row>
    <row r="50" spans="2:22" s="307" customFormat="1" ht="15.75" customHeight="1">
      <c r="B50" s="308"/>
      <c r="C50" s="309"/>
      <c r="D50" s="480" t="s">
        <v>296</v>
      </c>
      <c r="E50" s="480"/>
      <c r="F50" s="480"/>
      <c r="G50" s="480"/>
      <c r="H50" s="480"/>
      <c r="I50" s="483" t="str">
        <f>SÖZLEŞME!$B$27</f>
        <v>Konut </v>
      </c>
      <c r="J50" s="483"/>
      <c r="K50" s="483"/>
      <c r="L50" s="491"/>
      <c r="M50" s="491"/>
      <c r="N50" s="491"/>
      <c r="O50" s="492"/>
      <c r="P50" s="492"/>
      <c r="Q50" s="492"/>
      <c r="R50" s="492"/>
      <c r="S50" s="492"/>
      <c r="T50" s="492"/>
      <c r="U50" s="314"/>
      <c r="V50" s="315"/>
    </row>
    <row r="51" spans="2:22" s="307" customFormat="1" ht="4.5" customHeight="1">
      <c r="B51" s="308"/>
      <c r="C51" s="309"/>
      <c r="D51" s="341"/>
      <c r="E51" s="342"/>
      <c r="F51" s="318"/>
      <c r="G51" s="318"/>
      <c r="H51" s="318"/>
      <c r="I51" s="318"/>
      <c r="J51" s="318"/>
      <c r="K51" s="318"/>
      <c r="L51" s="343"/>
      <c r="M51" s="343"/>
      <c r="N51" s="343"/>
      <c r="O51" s="344"/>
      <c r="P51" s="344"/>
      <c r="Q51" s="344"/>
      <c r="R51" s="344"/>
      <c r="S51" s="344"/>
      <c r="T51" s="345"/>
      <c r="U51" s="314"/>
      <c r="V51" s="315"/>
    </row>
    <row r="52" spans="2:22" ht="12.75">
      <c r="B52" s="286"/>
      <c r="C52" s="291"/>
      <c r="D52" s="292"/>
      <c r="E52" s="292"/>
      <c r="F52" s="292"/>
      <c r="G52" s="292"/>
      <c r="H52" s="292"/>
      <c r="I52" s="292"/>
      <c r="J52" s="292"/>
      <c r="K52" s="292"/>
      <c r="L52" s="324"/>
      <c r="M52" s="324"/>
      <c r="N52" s="324"/>
      <c r="O52" s="324"/>
      <c r="P52" s="324"/>
      <c r="Q52" s="324"/>
      <c r="R52" s="324"/>
      <c r="S52" s="324"/>
      <c r="T52" s="324"/>
      <c r="U52" s="294"/>
      <c r="V52" s="290"/>
    </row>
    <row r="53" spans="2:22" ht="12.75">
      <c r="B53" s="286"/>
      <c r="C53" s="291"/>
      <c r="D53" s="292"/>
      <c r="E53" s="292"/>
      <c r="F53" s="292"/>
      <c r="G53" s="292"/>
      <c r="H53" s="292"/>
      <c r="I53" s="292"/>
      <c r="J53" s="292"/>
      <c r="K53" s="292"/>
      <c r="L53" s="324"/>
      <c r="M53" s="324"/>
      <c r="N53" s="324"/>
      <c r="O53" s="324"/>
      <c r="P53" s="324"/>
      <c r="Q53" s="324"/>
      <c r="R53" s="324"/>
      <c r="S53" s="324"/>
      <c r="T53" s="324"/>
      <c r="U53" s="294"/>
      <c r="V53" s="290"/>
    </row>
    <row r="54" spans="2:22" s="346" customFormat="1" ht="12.75">
      <c r="B54" s="347"/>
      <c r="C54" s="348"/>
      <c r="D54" s="349" t="s">
        <v>297</v>
      </c>
      <c r="E54" s="350"/>
      <c r="F54" s="350"/>
      <c r="G54" s="350"/>
      <c r="H54" s="350"/>
      <c r="I54" s="350"/>
      <c r="J54" s="350"/>
      <c r="K54" s="350"/>
      <c r="L54" s="350"/>
      <c r="M54" s="350"/>
      <c r="N54" s="350"/>
      <c r="O54" s="350"/>
      <c r="P54" s="350"/>
      <c r="Q54" s="350"/>
      <c r="R54" s="350"/>
      <c r="S54" s="350"/>
      <c r="T54" s="350"/>
      <c r="U54" s="351"/>
      <c r="V54" s="352"/>
    </row>
    <row r="55" spans="2:22" s="346" customFormat="1" ht="12.75">
      <c r="B55" s="347"/>
      <c r="C55" s="348"/>
      <c r="D55" s="349" t="s">
        <v>327</v>
      </c>
      <c r="E55" s="350"/>
      <c r="F55" s="350"/>
      <c r="G55" s="350"/>
      <c r="H55" s="350"/>
      <c r="I55" s="350"/>
      <c r="J55" s="350"/>
      <c r="K55" s="350"/>
      <c r="L55" s="350"/>
      <c r="M55" s="350"/>
      <c r="N55" s="350"/>
      <c r="O55" s="350"/>
      <c r="P55" s="350"/>
      <c r="Q55" s="350"/>
      <c r="R55" s="350"/>
      <c r="S55" s="350"/>
      <c r="T55" s="350"/>
      <c r="U55" s="351"/>
      <c r="V55" s="352"/>
    </row>
    <row r="56" spans="2:22" s="346" customFormat="1" ht="12.75">
      <c r="B56" s="347"/>
      <c r="C56" s="348"/>
      <c r="D56" s="349" t="s">
        <v>328</v>
      </c>
      <c r="E56" s="350"/>
      <c r="F56" s="350"/>
      <c r="G56" s="350"/>
      <c r="H56" s="350"/>
      <c r="I56" s="350"/>
      <c r="J56" s="350"/>
      <c r="K56" s="350"/>
      <c r="L56" s="350"/>
      <c r="M56" s="350"/>
      <c r="N56" s="350"/>
      <c r="O56" s="350"/>
      <c r="P56" s="350"/>
      <c r="Q56" s="350"/>
      <c r="R56" s="350"/>
      <c r="S56" s="350"/>
      <c r="T56" s="350"/>
      <c r="U56" s="351"/>
      <c r="V56" s="352"/>
    </row>
    <row r="57" spans="2:22" s="346" customFormat="1" ht="12.75">
      <c r="B57" s="347"/>
      <c r="C57" s="348"/>
      <c r="D57" s="349" t="s">
        <v>329</v>
      </c>
      <c r="E57" s="350"/>
      <c r="F57" s="350"/>
      <c r="G57" s="350"/>
      <c r="H57" s="350"/>
      <c r="I57" s="350"/>
      <c r="J57" s="350"/>
      <c r="K57" s="350"/>
      <c r="L57" s="350"/>
      <c r="M57" s="350"/>
      <c r="N57" s="350"/>
      <c r="O57" s="350"/>
      <c r="P57" s="350"/>
      <c r="Q57" s="350"/>
      <c r="R57" s="350"/>
      <c r="S57" s="350"/>
      <c r="T57" s="350"/>
      <c r="U57" s="351"/>
      <c r="V57" s="352"/>
    </row>
    <row r="58" spans="2:22" s="346" customFormat="1" ht="12.75">
      <c r="B58" s="347"/>
      <c r="C58" s="348"/>
      <c r="D58" s="349" t="s">
        <v>330</v>
      </c>
      <c r="E58" s="350"/>
      <c r="F58" s="350"/>
      <c r="G58" s="350"/>
      <c r="H58" s="350"/>
      <c r="I58" s="350"/>
      <c r="J58" s="350"/>
      <c r="K58" s="350"/>
      <c r="L58" s="350"/>
      <c r="M58" s="350"/>
      <c r="N58" s="350"/>
      <c r="O58" s="350"/>
      <c r="P58" s="350"/>
      <c r="Q58" s="350"/>
      <c r="R58" s="350"/>
      <c r="S58" s="350"/>
      <c r="T58" s="350"/>
      <c r="U58" s="351"/>
      <c r="V58" s="352"/>
    </row>
    <row r="59" spans="2:22" s="346" customFormat="1" ht="12.75">
      <c r="B59" s="347"/>
      <c r="C59" s="348"/>
      <c r="D59" s="349" t="s">
        <v>301</v>
      </c>
      <c r="E59" s="350"/>
      <c r="F59" s="350"/>
      <c r="G59" s="350"/>
      <c r="H59" s="350"/>
      <c r="I59" s="350"/>
      <c r="J59" s="350"/>
      <c r="K59" s="350"/>
      <c r="L59" s="350"/>
      <c r="M59" s="350"/>
      <c r="N59" s="350"/>
      <c r="O59" s="350"/>
      <c r="P59" s="350"/>
      <c r="Q59" s="350"/>
      <c r="R59" s="350"/>
      <c r="S59" s="350"/>
      <c r="T59" s="350"/>
      <c r="U59" s="351"/>
      <c r="V59" s="352"/>
    </row>
    <row r="60" spans="2:22" s="346" customFormat="1" ht="12.75">
      <c r="B60" s="347"/>
      <c r="C60" s="348"/>
      <c r="D60" s="349" t="s">
        <v>302</v>
      </c>
      <c r="E60" s="350"/>
      <c r="F60" s="350"/>
      <c r="G60" s="350"/>
      <c r="H60" s="350"/>
      <c r="I60" s="350"/>
      <c r="J60" s="350"/>
      <c r="K60" s="350"/>
      <c r="L60" s="350"/>
      <c r="M60" s="350"/>
      <c r="N60" s="350"/>
      <c r="O60" s="350"/>
      <c r="P60" s="350"/>
      <c r="Q60" s="350"/>
      <c r="R60" s="350"/>
      <c r="S60" s="350"/>
      <c r="T60" s="350"/>
      <c r="U60" s="351"/>
      <c r="V60" s="352"/>
    </row>
    <row r="61" spans="2:22" s="346" customFormat="1" ht="12.75">
      <c r="B61" s="347"/>
      <c r="C61" s="348"/>
      <c r="D61" s="350"/>
      <c r="E61" s="350"/>
      <c r="F61" s="350"/>
      <c r="G61" s="350"/>
      <c r="H61" s="350"/>
      <c r="I61" s="350"/>
      <c r="J61" s="350"/>
      <c r="K61" s="350"/>
      <c r="L61" s="350"/>
      <c r="M61" s="350"/>
      <c r="N61" s="350"/>
      <c r="O61" s="350"/>
      <c r="P61" s="350"/>
      <c r="Q61" s="350"/>
      <c r="R61" s="350"/>
      <c r="S61" s="350"/>
      <c r="T61" s="350"/>
      <c r="U61" s="351"/>
      <c r="V61" s="352"/>
    </row>
    <row r="62" spans="2:22" s="346" customFormat="1" ht="12.75">
      <c r="B62" s="347"/>
      <c r="C62" s="348"/>
      <c r="D62" s="350"/>
      <c r="E62" s="350"/>
      <c r="F62" s="350"/>
      <c r="G62" s="350"/>
      <c r="H62" s="350"/>
      <c r="I62" s="350"/>
      <c r="J62" s="350"/>
      <c r="K62" s="350"/>
      <c r="L62" s="350"/>
      <c r="M62" s="350"/>
      <c r="N62" s="350"/>
      <c r="O62" s="350"/>
      <c r="P62" s="350"/>
      <c r="Q62" s="350"/>
      <c r="R62" s="350"/>
      <c r="S62" s="350"/>
      <c r="T62" s="350"/>
      <c r="U62" s="351"/>
      <c r="V62" s="352"/>
    </row>
    <row r="63" spans="2:22" ht="12.75">
      <c r="B63" s="286"/>
      <c r="C63" s="291"/>
      <c r="D63" s="353"/>
      <c r="E63" s="353"/>
      <c r="F63" s="353"/>
      <c r="G63" s="353"/>
      <c r="H63" s="353"/>
      <c r="I63" s="353"/>
      <c r="J63" s="353"/>
      <c r="K63" s="353"/>
      <c r="L63" s="353"/>
      <c r="M63" s="353"/>
      <c r="N63" s="353"/>
      <c r="O63" s="353"/>
      <c r="P63" s="353"/>
      <c r="Q63" s="353"/>
      <c r="R63" s="353"/>
      <c r="S63" s="353"/>
      <c r="T63" s="292"/>
      <c r="U63" s="294"/>
      <c r="V63" s="290"/>
    </row>
    <row r="64" spans="2:22" ht="12.75">
      <c r="B64" s="286"/>
      <c r="C64" s="291"/>
      <c r="D64" s="353"/>
      <c r="E64" s="353"/>
      <c r="F64" s="353"/>
      <c r="G64" s="353"/>
      <c r="H64" s="353"/>
      <c r="I64" s="353"/>
      <c r="J64" s="353"/>
      <c r="K64" s="353"/>
      <c r="L64" s="353"/>
      <c r="M64" s="353"/>
      <c r="N64" s="353"/>
      <c r="O64" s="353"/>
      <c r="P64" s="353"/>
      <c r="Q64" s="353"/>
      <c r="R64" s="353"/>
      <c r="S64" s="353"/>
      <c r="T64" s="292"/>
      <c r="U64" s="294"/>
      <c r="V64" s="290"/>
    </row>
    <row r="65" spans="2:22" ht="12.75">
      <c r="B65" s="286"/>
      <c r="C65" s="291"/>
      <c r="D65" s="292"/>
      <c r="E65" s="292"/>
      <c r="F65" s="292"/>
      <c r="G65" s="292"/>
      <c r="H65" s="292"/>
      <c r="I65" s="493" t="s">
        <v>303</v>
      </c>
      <c r="J65" s="493"/>
      <c r="K65" s="493"/>
      <c r="L65" s="493"/>
      <c r="M65" s="493"/>
      <c r="N65" s="297"/>
      <c r="O65" s="354"/>
      <c r="P65" s="297"/>
      <c r="Q65" s="292"/>
      <c r="R65" s="292"/>
      <c r="S65" s="292"/>
      <c r="T65" s="292"/>
      <c r="U65" s="294"/>
      <c r="V65" s="290"/>
    </row>
    <row r="66" spans="2:22" ht="12.75">
      <c r="B66" s="286"/>
      <c r="C66" s="291"/>
      <c r="D66" s="292"/>
      <c r="E66" s="292"/>
      <c r="F66" s="292"/>
      <c r="G66" s="292"/>
      <c r="H66" s="292"/>
      <c r="I66" s="494" t="s">
        <v>304</v>
      </c>
      <c r="J66" s="494"/>
      <c r="K66" s="494"/>
      <c r="L66" s="494"/>
      <c r="M66" s="494"/>
      <c r="N66" s="356"/>
      <c r="O66" s="355"/>
      <c r="P66" s="356"/>
      <c r="Q66" s="292"/>
      <c r="R66" s="292"/>
      <c r="S66" s="292"/>
      <c r="T66" s="292"/>
      <c r="U66" s="294"/>
      <c r="V66" s="290"/>
    </row>
    <row r="67" spans="2:22" ht="12.75">
      <c r="B67" s="286"/>
      <c r="C67" s="291"/>
      <c r="D67" s="292"/>
      <c r="E67" s="292"/>
      <c r="F67" s="292"/>
      <c r="G67" s="292"/>
      <c r="H67" s="292"/>
      <c r="I67" s="493" t="s">
        <v>96</v>
      </c>
      <c r="J67" s="493"/>
      <c r="K67" s="493"/>
      <c r="L67" s="297"/>
      <c r="M67" s="297"/>
      <c r="N67" s="297"/>
      <c r="O67" s="297"/>
      <c r="P67" s="297"/>
      <c r="Q67" s="292"/>
      <c r="R67" s="292"/>
      <c r="S67" s="292"/>
      <c r="T67" s="292"/>
      <c r="U67" s="294"/>
      <c r="V67" s="290"/>
    </row>
    <row r="68" spans="2:22" ht="12.75">
      <c r="B68" s="286"/>
      <c r="C68" s="291"/>
      <c r="D68" s="292"/>
      <c r="E68" s="292"/>
      <c r="F68" s="292"/>
      <c r="G68" s="292"/>
      <c r="H68" s="292"/>
      <c r="I68" s="493" t="s">
        <v>97</v>
      </c>
      <c r="J68" s="493"/>
      <c r="K68" s="493"/>
      <c r="L68" s="292"/>
      <c r="M68" s="292"/>
      <c r="N68" s="292"/>
      <c r="O68" s="292"/>
      <c r="P68" s="292"/>
      <c r="Q68" s="292"/>
      <c r="R68" s="292"/>
      <c r="S68" s="292"/>
      <c r="T68" s="292"/>
      <c r="U68" s="294"/>
      <c r="V68" s="290"/>
    </row>
    <row r="69" spans="2:22" ht="12.75">
      <c r="B69" s="286"/>
      <c r="C69" s="291"/>
      <c r="D69" s="292"/>
      <c r="E69" s="292"/>
      <c r="F69" s="292"/>
      <c r="G69" s="292"/>
      <c r="H69" s="292"/>
      <c r="I69" s="493" t="s">
        <v>305</v>
      </c>
      <c r="J69" s="493"/>
      <c r="K69" s="493"/>
      <c r="L69" s="292"/>
      <c r="M69" s="292"/>
      <c r="N69" s="292"/>
      <c r="O69" s="292"/>
      <c r="P69" s="292"/>
      <c r="Q69" s="292"/>
      <c r="R69" s="292"/>
      <c r="S69" s="292"/>
      <c r="T69" s="292"/>
      <c r="U69" s="294"/>
      <c r="V69" s="290"/>
    </row>
    <row r="70" spans="2:22" ht="12.75">
      <c r="B70" s="286"/>
      <c r="C70" s="291"/>
      <c r="D70" s="292"/>
      <c r="E70" s="292"/>
      <c r="F70" s="292"/>
      <c r="G70" s="292"/>
      <c r="H70" s="292"/>
      <c r="I70" s="292"/>
      <c r="J70" s="354"/>
      <c r="K70" s="354"/>
      <c r="L70" s="354"/>
      <c r="M70" s="292"/>
      <c r="N70" s="292"/>
      <c r="O70" s="292"/>
      <c r="P70" s="292"/>
      <c r="Q70" s="292"/>
      <c r="R70" s="292"/>
      <c r="S70" s="292"/>
      <c r="T70" s="292"/>
      <c r="U70" s="294"/>
      <c r="V70" s="290"/>
    </row>
    <row r="71" spans="2:22" ht="12.75">
      <c r="B71" s="286"/>
      <c r="C71" s="291"/>
      <c r="D71" s="292"/>
      <c r="E71" s="292"/>
      <c r="F71" s="292"/>
      <c r="G71" s="292"/>
      <c r="H71" s="292"/>
      <c r="I71" s="292"/>
      <c r="J71" s="354"/>
      <c r="K71" s="354"/>
      <c r="L71" s="354"/>
      <c r="M71" s="292"/>
      <c r="N71" s="292"/>
      <c r="O71" s="292"/>
      <c r="P71" s="292"/>
      <c r="Q71" s="292"/>
      <c r="R71" s="292"/>
      <c r="S71" s="292"/>
      <c r="T71" s="292"/>
      <c r="U71" s="294"/>
      <c r="V71" s="290"/>
    </row>
    <row r="72" spans="2:22" ht="12.75">
      <c r="B72" s="286"/>
      <c r="C72" s="291"/>
      <c r="D72" s="292"/>
      <c r="E72" s="292"/>
      <c r="F72" s="292"/>
      <c r="G72" s="292"/>
      <c r="H72" s="354"/>
      <c r="I72" s="354"/>
      <c r="J72" s="354"/>
      <c r="K72" s="292"/>
      <c r="L72" s="292"/>
      <c r="M72" s="292"/>
      <c r="N72" s="292"/>
      <c r="O72" s="292"/>
      <c r="P72" s="292"/>
      <c r="Q72" s="292"/>
      <c r="R72" s="292"/>
      <c r="S72" s="292"/>
      <c r="T72" s="292"/>
      <c r="U72" s="294"/>
      <c r="V72" s="290"/>
    </row>
    <row r="73" spans="2:22" ht="12.75">
      <c r="B73" s="286"/>
      <c r="C73" s="291"/>
      <c r="D73" s="292"/>
      <c r="E73" s="292"/>
      <c r="F73" s="292"/>
      <c r="G73" s="354"/>
      <c r="H73" s="354"/>
      <c r="I73" s="354"/>
      <c r="J73" s="292"/>
      <c r="K73" s="292"/>
      <c r="L73" s="292"/>
      <c r="M73" s="292"/>
      <c r="N73" s="292"/>
      <c r="O73" s="292"/>
      <c r="P73" s="292"/>
      <c r="Q73" s="292"/>
      <c r="R73" s="292"/>
      <c r="S73" s="292"/>
      <c r="T73" s="292"/>
      <c r="U73" s="294"/>
      <c r="V73" s="290"/>
    </row>
    <row r="74" spans="2:22" ht="12.75">
      <c r="B74" s="286"/>
      <c r="C74" s="291"/>
      <c r="D74" s="292"/>
      <c r="E74" s="292"/>
      <c r="F74" s="292"/>
      <c r="G74" s="354"/>
      <c r="H74" s="354"/>
      <c r="I74" s="354"/>
      <c r="J74" s="292"/>
      <c r="K74" s="292"/>
      <c r="L74" s="292"/>
      <c r="M74" s="292"/>
      <c r="N74" s="292"/>
      <c r="O74" s="292"/>
      <c r="P74" s="292"/>
      <c r="Q74" s="292"/>
      <c r="R74" s="292"/>
      <c r="S74" s="292"/>
      <c r="T74" s="292"/>
      <c r="U74" s="294"/>
      <c r="V74" s="290"/>
    </row>
    <row r="75" spans="2:22" ht="12.75">
      <c r="B75" s="286"/>
      <c r="C75" s="357"/>
      <c r="D75" s="358"/>
      <c r="E75" s="358"/>
      <c r="F75" s="358"/>
      <c r="G75" s="358"/>
      <c r="H75" s="358"/>
      <c r="I75" s="358"/>
      <c r="J75" s="358"/>
      <c r="K75" s="358"/>
      <c r="L75" s="358"/>
      <c r="M75" s="358"/>
      <c r="N75" s="358"/>
      <c r="O75" s="358"/>
      <c r="P75" s="358"/>
      <c r="Q75" s="358"/>
      <c r="R75" s="358"/>
      <c r="S75" s="358"/>
      <c r="T75" s="358"/>
      <c r="U75" s="359"/>
      <c r="V75" s="290"/>
    </row>
    <row r="76" spans="2:22" ht="7.5" customHeight="1">
      <c r="B76" s="360"/>
      <c r="C76" s="361"/>
      <c r="D76" s="361"/>
      <c r="E76" s="361"/>
      <c r="F76" s="361"/>
      <c r="G76" s="361"/>
      <c r="H76" s="361"/>
      <c r="I76" s="361"/>
      <c r="J76" s="361"/>
      <c r="K76" s="361"/>
      <c r="L76" s="361"/>
      <c r="M76" s="361"/>
      <c r="N76" s="361"/>
      <c r="O76" s="361"/>
      <c r="P76" s="361"/>
      <c r="Q76" s="361"/>
      <c r="R76" s="361"/>
      <c r="S76" s="361"/>
      <c r="T76" s="361"/>
      <c r="U76" s="361"/>
      <c r="V76" s="362"/>
    </row>
    <row r="77" spans="3:19" ht="12.75">
      <c r="C77" s="292"/>
      <c r="D77" s="292"/>
      <c r="E77" s="292"/>
      <c r="F77" s="292"/>
      <c r="G77" s="292"/>
      <c r="H77" s="292"/>
      <c r="I77" s="292"/>
      <c r="J77" s="292"/>
      <c r="K77" s="292"/>
      <c r="L77" s="292"/>
      <c r="M77" s="292"/>
      <c r="N77" s="292"/>
      <c r="O77" s="292"/>
      <c r="P77" s="292"/>
      <c r="Q77" s="292"/>
      <c r="R77" s="292"/>
      <c r="S77" s="292"/>
    </row>
  </sheetData>
  <mergeCells count="95">
    <mergeCell ref="I69:K69"/>
    <mergeCell ref="I65:M65"/>
    <mergeCell ref="I66:M66"/>
    <mergeCell ref="I67:K67"/>
    <mergeCell ref="I68:K68"/>
    <mergeCell ref="Q48:R48"/>
    <mergeCell ref="S48:T48"/>
    <mergeCell ref="D49:H49"/>
    <mergeCell ref="I49:K49"/>
    <mergeCell ref="L49:N50"/>
    <mergeCell ref="O49:T50"/>
    <mergeCell ref="D50:H50"/>
    <mergeCell ref="I50:K50"/>
    <mergeCell ref="D48:H48"/>
    <mergeCell ref="I48:K48"/>
    <mergeCell ref="L48:N48"/>
    <mergeCell ref="O48:P48"/>
    <mergeCell ref="Q46:R46"/>
    <mergeCell ref="S46:T46"/>
    <mergeCell ref="D47:H47"/>
    <mergeCell ref="I47:K47"/>
    <mergeCell ref="L47:N47"/>
    <mergeCell ref="O47:P47"/>
    <mergeCell ref="Q47:R47"/>
    <mergeCell ref="S47:T47"/>
    <mergeCell ref="D46:H46"/>
    <mergeCell ref="I46:K46"/>
    <mergeCell ref="L46:M46"/>
    <mergeCell ref="N46:P46"/>
    <mergeCell ref="Q44:R44"/>
    <mergeCell ref="S44:T44"/>
    <mergeCell ref="D45:H45"/>
    <mergeCell ref="I45:K45"/>
    <mergeCell ref="L45:M45"/>
    <mergeCell ref="N45:P45"/>
    <mergeCell ref="Q45:R45"/>
    <mergeCell ref="S45:T45"/>
    <mergeCell ref="D44:H44"/>
    <mergeCell ref="I44:K44"/>
    <mergeCell ref="L44:M44"/>
    <mergeCell ref="N44:P44"/>
    <mergeCell ref="Q42:R42"/>
    <mergeCell ref="S42:T42"/>
    <mergeCell ref="D43:H43"/>
    <mergeCell ref="I43:K43"/>
    <mergeCell ref="L43:M43"/>
    <mergeCell ref="N43:P43"/>
    <mergeCell ref="Q43:R43"/>
    <mergeCell ref="S43:T43"/>
    <mergeCell ref="D42:H42"/>
    <mergeCell ref="I42:K42"/>
    <mergeCell ref="L42:M42"/>
    <mergeCell ref="N42:P42"/>
    <mergeCell ref="Q40:R40"/>
    <mergeCell ref="S40:T40"/>
    <mergeCell ref="D41:H41"/>
    <mergeCell ref="I41:K41"/>
    <mergeCell ref="L41:M41"/>
    <mergeCell ref="N41:P41"/>
    <mergeCell ref="Q41:R41"/>
    <mergeCell ref="S41:T41"/>
    <mergeCell ref="D40:H40"/>
    <mergeCell ref="I40:K40"/>
    <mergeCell ref="L40:M40"/>
    <mergeCell ref="N40:P40"/>
    <mergeCell ref="D38:H38"/>
    <mergeCell ref="I38:T38"/>
    <mergeCell ref="D39:H39"/>
    <mergeCell ref="I39:T39"/>
    <mergeCell ref="D36:H36"/>
    <mergeCell ref="I36:T36"/>
    <mergeCell ref="D37:H37"/>
    <mergeCell ref="I37:T37"/>
    <mergeCell ref="D29:K29"/>
    <mergeCell ref="L29:T29"/>
    <mergeCell ref="D30:K30"/>
    <mergeCell ref="L30:M30"/>
    <mergeCell ref="D27:K27"/>
    <mergeCell ref="L27:T27"/>
    <mergeCell ref="D28:K28"/>
    <mergeCell ref="L28:T28"/>
    <mergeCell ref="D25:K25"/>
    <mergeCell ref="L25:T25"/>
    <mergeCell ref="D26:K26"/>
    <mergeCell ref="L26:T26"/>
    <mergeCell ref="I10:L12"/>
    <mergeCell ref="D18:T18"/>
    <mergeCell ref="E19:T19"/>
    <mergeCell ref="D24:K24"/>
    <mergeCell ref="L24:T24"/>
    <mergeCell ref="I6:J7"/>
    <mergeCell ref="P6:Q6"/>
    <mergeCell ref="P7:Q7"/>
    <mergeCell ref="I8:O9"/>
    <mergeCell ref="P8:Q8"/>
  </mergeCells>
  <dataValidations count="1">
    <dataValidation type="list" operator="equal" allowBlank="1" showInputMessage="1" showErrorMessage="1" prompt="Yakıt Cinsini Listeden  Seçiniz" error="Yakıt Cinsini Listeden Seçiniz ?" sqref="S48:T48">
      <formula1>"Katı yakıt,Fuel-oil,Doğalgaz,LPG,Elektrik,Güneş,Termal,Rüzgar"</formula1>
    </dataValidation>
  </dataValidations>
  <printOptions/>
  <pageMargins left="0.5" right="0.1701388888888889" top="0.37986111111111115" bottom="0.3902777777777778" header="0.5118055555555556" footer="0.5118055555555556"/>
  <pageSetup cellComments="atEnd" fitToHeight="1" fitToWidth="1" horizontalDpi="300" verticalDpi="300" orientation="portrait" paperSize="9"/>
  <drawing r:id="rId3"/>
  <legacyDrawing r:id="rId2"/>
  <oleObjects>
    <oleObject progId="opendocument.WriterDocument.1" shapeId="48616014" r:id="rId1"/>
  </oleObjects>
</worksheet>
</file>

<file path=xl/worksheets/sheet14.xml><?xml version="1.0" encoding="utf-8"?>
<worksheet xmlns="http://schemas.openxmlformats.org/spreadsheetml/2006/main" xmlns:r="http://schemas.openxmlformats.org/officeDocument/2006/relationships">
  <sheetPr>
    <pageSetUpPr fitToPage="1"/>
  </sheetPr>
  <dimension ref="A14:AV63"/>
  <sheetViews>
    <sheetView showZeros="0" workbookViewId="0" topLeftCell="A16">
      <selection activeCell="W30" sqref="W30"/>
    </sheetView>
  </sheetViews>
  <sheetFormatPr defaultColWidth="9.140625" defaultRowHeight="11.25" customHeight="1"/>
  <cols>
    <col min="1" max="10" width="2.28125" style="0" customWidth="1"/>
    <col min="11" max="11" width="2.8515625" style="0" customWidth="1"/>
    <col min="12" max="35" width="2.28125" style="0" customWidth="1"/>
    <col min="36" max="36" width="2.7109375" style="0" customWidth="1"/>
    <col min="37" max="37" width="1.8515625" style="0" customWidth="1"/>
    <col min="38" max="38" width="1.28515625" style="0" customWidth="1"/>
    <col min="39" max="40" width="2.28125" style="0" customWidth="1"/>
    <col min="41" max="41" width="1.421875" style="0" customWidth="1"/>
    <col min="42" max="16384" width="2.28125" style="0" customWidth="1"/>
  </cols>
  <sheetData>
    <row r="14" spans="1:38" ht="18" customHeight="1">
      <c r="A14" s="502" t="s">
        <v>331</v>
      </c>
      <c r="B14" s="502"/>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row>
    <row r="15" spans="1:38" ht="18" customHeight="1">
      <c r="A15" s="373"/>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row>
    <row r="16" spans="1:38" ht="18" customHeight="1">
      <c r="A16" s="373"/>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row>
    <row r="17" spans="2:44" ht="96" customHeight="1">
      <c r="B17" s="503" t="str">
        <f>CONCATENATE("     ",SÖZLEŞME!B17," İli, ",SÖZLEŞME!G17," İlçesi, ",SÖZLEŞME!K17," Mahallesi, ",SÖZLEŞME!R17," Sokak, ",,SÖZLEŞME!Y7,"'e ait tapunun pafta ",SÖZLEŞME!AA17,", Ada ",SÖZLEŞME!AF17,", Parsel ",SÖZLEŞME!AJ17,"' sayılı yerde yapılacak olan inşaatla ilgili, 3194 sayılı imar kanunu!nun 28. 32. 38. 4242."," maddelerine, mühendislik ve mimarlık hakkındaki  3458 sayılı kanuna, 6235, 7303 sayılı T.M.M.O.B. Kanununa, 2936 sayılı ve değiştirilen 7303 sayılı "," fikir ve sanat eserleri kanununa, hatalı çizilmiş, tastik edilmiş belgelere göre uygulama yapmayacağıma ve hatalı olarak yapılmış imalatları en geç -3- (Üç) iş günü içersinde  ",,SÖZLEŞME!G18," Belediyesi İmar İşleri Müdürlüğüne bildireceğimi taahhüt ederrim. ",DAY(SÖZLEŞME!C59),"/",MONTH(SÖZLEŞME!C59),"/",YEAR(SÖZLEŞME!C59),".")</f>
        <v>      İli,  İlçesi,  Mahallesi,  Sokak, 'e ait tapunun pafta , Ada , Parsel ' sayılı yerde yapılacak olan inşaatla ilgili, 3194 sayılı imar kanunu!nun 28. 32. 38. 4242. maddelerine, mühendislik ve mimarlık hakkındaki  3458 sayılı kanuna, 6235, 7303 sayılı T.M.M.O.B. Kanununa, 2936 sayılı ve değiştirilen 7303 sayılı  fikir ve sanat eserleri kanununa, hatalı çizilmiş, tastik edilmiş belgelere göre uygulama yapmayacağıma ve hatalı olarak yapılmış imalatları en geç -3- (Üç) iş günü içersinde  0 Belediyesi İmar İşleri Müdürlüğüne bildireceğimi taahhüt ederrim. 11/11/2008.</v>
      </c>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row>
    <row r="18" spans="4:8" ht="12.75" customHeight="1" hidden="1">
      <c r="D18" s="504">
        <f>SÖZLEŞME!C59+30.36*(SÖZLEŞME!AD27)+1</f>
        <v>40037.83686423611</v>
      </c>
      <c r="E18" s="504"/>
      <c r="F18" s="504"/>
      <c r="G18" s="504"/>
      <c r="H18" s="504"/>
    </row>
    <row r="19" ht="9" customHeight="1"/>
    <row r="20" spans="2:3" ht="11.25" customHeight="1">
      <c r="B20" t="str">
        <f>CONCATENATE("   Teknik Uygulama Sorumluluğum (TUS) ",DAY(D18),"/",MONTH(D18),"/",YEAR(D18)," tarihinde sona erecektir.")</f>
        <v>   Teknik Uygulama Sorumluluğum (TUS) 12/8/2009 tarihinde sona erecektir.</v>
      </c>
      <c r="C20" s="167"/>
    </row>
    <row r="24" s="167" customFormat="1" ht="14.25" customHeight="1"/>
    <row r="25" s="167" customFormat="1" ht="14.25" customHeight="1"/>
    <row r="26" spans="1:37" s="167" customFormat="1" ht="14.25" customHeight="1">
      <c r="A26" s="167" t="s">
        <v>332</v>
      </c>
      <c r="Z26" s="505" t="s">
        <v>333</v>
      </c>
      <c r="AA26" s="505"/>
      <c r="AB26" s="505"/>
      <c r="AC26" s="505"/>
      <c r="AD26" s="505"/>
      <c r="AE26" s="505"/>
      <c r="AF26" s="505"/>
      <c r="AG26" s="505"/>
      <c r="AH26" s="505"/>
      <c r="AI26" s="505"/>
      <c r="AJ26" s="505"/>
      <c r="AK26" s="505"/>
    </row>
    <row r="27" spans="1:48" s="167" customFormat="1" ht="15" customHeight="1">
      <c r="A27" s="167" t="s">
        <v>334</v>
      </c>
      <c r="L27" s="167" t="s">
        <v>131</v>
      </c>
      <c r="M27" s="506"/>
      <c r="N27" s="506"/>
      <c r="O27" s="506"/>
      <c r="P27" s="506"/>
      <c r="Q27" s="506"/>
      <c r="R27" s="506"/>
      <c r="S27" s="506"/>
      <c r="T27" s="506"/>
      <c r="U27" s="506"/>
      <c r="V27" s="506"/>
      <c r="Z27" s="505" t="s">
        <v>335</v>
      </c>
      <c r="AA27" s="505"/>
      <c r="AB27" s="505"/>
      <c r="AC27" s="505"/>
      <c r="AD27" s="505"/>
      <c r="AE27" s="505"/>
      <c r="AF27" s="505"/>
      <c r="AG27" s="505"/>
      <c r="AH27" s="505"/>
      <c r="AI27" s="505"/>
      <c r="AJ27" s="505"/>
      <c r="AK27" s="505"/>
      <c r="AQ27" s="133"/>
      <c r="AR27" s="133"/>
      <c r="AS27" s="133"/>
      <c r="AT27" s="133"/>
      <c r="AU27" s="133"/>
      <c r="AV27" s="133"/>
    </row>
    <row r="28" spans="1:48" s="167" customFormat="1" ht="15" customHeight="1">
      <c r="A28" s="167" t="s">
        <v>336</v>
      </c>
      <c r="L28" s="167" t="s">
        <v>131</v>
      </c>
      <c r="M28" s="506"/>
      <c r="N28" s="506"/>
      <c r="O28" s="506"/>
      <c r="P28" s="506"/>
      <c r="Q28" s="506"/>
      <c r="AQ28" s="133"/>
      <c r="AR28" s="133"/>
      <c r="AS28" s="133"/>
      <c r="AT28" s="133"/>
      <c r="AU28" s="133"/>
      <c r="AV28" s="133"/>
    </row>
    <row r="29" spans="1:48" s="167" customFormat="1" ht="15" customHeight="1">
      <c r="A29" s="167" t="s">
        <v>337</v>
      </c>
      <c r="L29" s="167" t="s">
        <v>131</v>
      </c>
      <c r="AQ29" s="133"/>
      <c r="AR29" s="133"/>
      <c r="AS29" s="133"/>
      <c r="AT29" s="133"/>
      <c r="AU29" s="133"/>
      <c r="AV29" s="133"/>
    </row>
    <row r="30" spans="43:48" s="167" customFormat="1" ht="15" customHeight="1">
      <c r="AQ30" s="133"/>
      <c r="AR30" s="133"/>
      <c r="AS30" s="133"/>
      <c r="AT30" s="133"/>
      <c r="AU30" s="133"/>
      <c r="AV30" s="133"/>
    </row>
    <row r="31" s="133" customFormat="1" ht="15" customHeight="1"/>
    <row r="32" s="133" customFormat="1" ht="15" customHeight="1"/>
    <row r="33" s="133" customFormat="1" ht="15" customHeight="1"/>
    <row r="34" s="133" customFormat="1" ht="15" customHeight="1"/>
    <row r="35" s="133" customFormat="1" ht="15" customHeight="1"/>
    <row r="36" s="133" customFormat="1" ht="15" customHeight="1"/>
    <row r="37" s="133" customFormat="1" ht="15" customHeight="1"/>
    <row r="38" s="133" customFormat="1" ht="15" customHeight="1"/>
    <row r="39" s="133" customFormat="1" ht="15" customHeight="1"/>
    <row r="40" s="133" customFormat="1" ht="15" customHeight="1"/>
    <row r="41" s="133" customFormat="1" ht="15" customHeight="1"/>
    <row r="42" s="133" customFormat="1" ht="15" customHeight="1"/>
    <row r="43" s="133" customFormat="1" ht="15" customHeight="1"/>
    <row r="44" s="133" customFormat="1" ht="15" customHeight="1"/>
    <row r="45" s="133" customFormat="1" ht="15" customHeight="1"/>
    <row r="46" s="133" customFormat="1" ht="15" customHeight="1"/>
    <row r="47" s="133" customFormat="1" ht="15" customHeight="1"/>
    <row r="48" s="133" customFormat="1" ht="15" customHeight="1"/>
    <row r="49" s="133" customFormat="1" ht="15" customHeight="1"/>
    <row r="50" s="133" customFormat="1" ht="15" customHeight="1"/>
    <row r="51" s="133" customFormat="1" ht="15" customHeight="1"/>
    <row r="52" s="133" customFormat="1" ht="15" customHeight="1"/>
    <row r="53" s="133" customFormat="1" ht="15" customHeight="1"/>
    <row r="54" s="133" customFormat="1" ht="15" customHeight="1"/>
    <row r="55" s="133" customFormat="1" ht="15" customHeight="1"/>
    <row r="56" s="133" customFormat="1" ht="15" customHeight="1"/>
    <row r="57" s="133" customFormat="1" ht="15" customHeight="1"/>
    <row r="58" s="133" customFormat="1" ht="15" customHeight="1"/>
    <row r="59" s="133" customFormat="1" ht="15" customHeight="1"/>
    <row r="60" spans="43:48" s="133" customFormat="1" ht="15" customHeight="1">
      <c r="AQ60"/>
      <c r="AR60"/>
      <c r="AS60"/>
      <c r="AT60"/>
      <c r="AU60"/>
      <c r="AV60"/>
    </row>
    <row r="61" spans="43:48" s="133" customFormat="1" ht="15" customHeight="1">
      <c r="AQ61"/>
      <c r="AR61"/>
      <c r="AS61"/>
      <c r="AT61"/>
      <c r="AU61"/>
      <c r="AV61"/>
    </row>
    <row r="62" spans="43:48" s="133" customFormat="1" ht="15" customHeight="1">
      <c r="AQ62"/>
      <c r="AR62"/>
      <c r="AS62"/>
      <c r="AT62"/>
      <c r="AU62"/>
      <c r="AV62"/>
    </row>
    <row r="63" spans="43:48" s="133" customFormat="1" ht="15" customHeight="1">
      <c r="AQ63"/>
      <c r="AR63"/>
      <c r="AS63"/>
      <c r="AT63"/>
      <c r="AU63"/>
      <c r="AV63"/>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mergeCells count="7">
    <mergeCell ref="M27:V27"/>
    <mergeCell ref="Z27:AK27"/>
    <mergeCell ref="M28:Q28"/>
    <mergeCell ref="A14:AL14"/>
    <mergeCell ref="B17:AR17"/>
    <mergeCell ref="D18:H18"/>
    <mergeCell ref="Z26:AK26"/>
  </mergeCells>
  <printOptions/>
  <pageMargins left="0.7479166666666667" right="0.3" top="0.9840277777777778" bottom="0.9840277777777778" header="0.5118055555555556" footer="0.5118055555555556"/>
  <pageSetup fitToHeight="1"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4:AT57"/>
  <sheetViews>
    <sheetView showZeros="0" workbookViewId="0" topLeftCell="A22">
      <selection activeCell="Q26" sqref="Q26"/>
    </sheetView>
  </sheetViews>
  <sheetFormatPr defaultColWidth="9.140625" defaultRowHeight="11.25" customHeight="1"/>
  <cols>
    <col min="1" max="3" width="2.28125" style="0" customWidth="1"/>
    <col min="4" max="4" width="2.57421875" style="0" customWidth="1"/>
    <col min="5" max="7" width="2.28125" style="0" customWidth="1"/>
    <col min="8" max="8" width="1.8515625" style="0" customWidth="1"/>
    <col min="9" max="10" width="2.28125" style="0" customWidth="1"/>
    <col min="11" max="11" width="2.8515625" style="0" customWidth="1"/>
    <col min="12" max="16" width="2.28125" style="0" customWidth="1"/>
    <col min="17" max="17" width="1.8515625" style="0" customWidth="1"/>
    <col min="18" max="37" width="2.28125" style="0" customWidth="1"/>
    <col min="38" max="38" width="2.00390625" style="0" customWidth="1"/>
    <col min="39" max="39" width="3.00390625" style="0" customWidth="1"/>
    <col min="40" max="40" width="2.28125" style="0" customWidth="1"/>
    <col min="41" max="41" width="1.421875" style="0" customWidth="1"/>
    <col min="42" max="42" width="0.85546875" style="0" customWidth="1"/>
    <col min="43" max="16384" width="2.28125" style="0" customWidth="1"/>
  </cols>
  <sheetData>
    <row r="14" spans="1:38" ht="18" customHeight="1">
      <c r="A14" s="502" t="s">
        <v>338</v>
      </c>
      <c r="B14" s="502"/>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row>
    <row r="15" spans="1:38" ht="18" customHeight="1">
      <c r="A15" s="373"/>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row>
    <row r="17" spans="2:44" ht="81.75" customHeight="1">
      <c r="B17" s="503" t="str">
        <f>CONCATENATE("     ",SÖZLEŞME!B17," İli, ",SÖZLEŞME!G17," İlçesi, ",SÖZLEŞME!K17," Mahallesi, ",SÖZLEŞME!R17," Sokak, ",SÖZLEŞME!Y7,"'na ait tapunun Pafta ",SÖZLEŞME!AA17,", Ada ",SÖZLEŞME!AF17,", Parsel ",SÖZLEŞME!AJ17,", sayılı, ilgili Belediyenin sorumluluğunu içeren alanda kalan proje, tekniğine göre yürürlükte olan plan, mevzuat, kanun ve yönetmeliklere uygun olarak dizayn edilmiştir."," Bundan dolayı her türlü kanuni sorumluluklar tarafıma aittir."," Hazırladığım projelerin tüm hataları ile kanuni ve hukuki doğabilecek her türlü sorumluluğu kabul ve beyan ederim.",DAY(SÖZLEŞME!C59),"/",MONTH(SÖZLEŞME!C59),"/",YEAR(SÖZLEŞME!C59),".")</f>
        <v>      İli,  İlçesi,  Mahallesi,  Sokak, 'na ait tapunun Pafta , Ada , Parsel , sayılı, ilgili Belediyenin sorumluluğunu içeren alanda kalan proje, tekniğine göre yürürlükte olan plan, mevzuat, kanun ve yönetmeliklere uygun olarak dizayn edilmiştir. Bundan dolayı her türlü kanuni sorumluluklar tarafıma aittir. Hazırladığım projelerin tüm hataları ile kanuni ve hukuki doğabilecek her türlü sorumluluğu kabul ve beyan ederim.11/11/2008.</v>
      </c>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row>
    <row r="18" ht="13.5" customHeight="1"/>
    <row r="19" s="133" customFormat="1" ht="15" customHeight="1"/>
    <row r="20" spans="1:37" s="167" customFormat="1" ht="14.25" customHeight="1">
      <c r="A20" s="167" t="s">
        <v>339</v>
      </c>
      <c r="Z20" s="505" t="s">
        <v>333</v>
      </c>
      <c r="AA20" s="505"/>
      <c r="AB20" s="505"/>
      <c r="AC20" s="505"/>
      <c r="AD20" s="505"/>
      <c r="AE20" s="505"/>
      <c r="AF20" s="505"/>
      <c r="AG20" s="505"/>
      <c r="AH20" s="505"/>
      <c r="AI20" s="505"/>
      <c r="AJ20" s="505"/>
      <c r="AK20" s="505"/>
    </row>
    <row r="21" spans="1:37" s="167" customFormat="1" ht="14.25" customHeight="1">
      <c r="A21" s="167" t="s">
        <v>334</v>
      </c>
      <c r="L21" s="167" t="s">
        <v>131</v>
      </c>
      <c r="M21" s="506"/>
      <c r="N21" s="506"/>
      <c r="O21" s="506"/>
      <c r="P21" s="506"/>
      <c r="Q21" s="506"/>
      <c r="R21" s="506"/>
      <c r="S21" s="506"/>
      <c r="T21" s="506"/>
      <c r="U21" s="506"/>
      <c r="V21" s="506"/>
      <c r="Z21" s="505" t="s">
        <v>335</v>
      </c>
      <c r="AA21" s="505"/>
      <c r="AB21" s="505"/>
      <c r="AC21" s="505"/>
      <c r="AD21" s="505"/>
      <c r="AE21" s="505"/>
      <c r="AF21" s="505"/>
      <c r="AG21" s="505"/>
      <c r="AH21" s="505"/>
      <c r="AI21" s="505"/>
      <c r="AJ21" s="505"/>
      <c r="AK21" s="505"/>
    </row>
    <row r="22" spans="1:17" s="167" customFormat="1" ht="14.25" customHeight="1">
      <c r="A22" s="167" t="s">
        <v>336</v>
      </c>
      <c r="L22" s="167" t="s">
        <v>131</v>
      </c>
      <c r="M22" s="506"/>
      <c r="N22" s="506"/>
      <c r="O22" s="506"/>
      <c r="P22" s="506"/>
      <c r="Q22" s="506"/>
    </row>
    <row r="23" spans="1:12" s="167" customFormat="1" ht="14.25" customHeight="1">
      <c r="A23" s="167" t="s">
        <v>337</v>
      </c>
      <c r="L23" s="167" t="s">
        <v>131</v>
      </c>
    </row>
    <row r="24" spans="41:46" s="167" customFormat="1" ht="15" customHeight="1">
      <c r="AO24" s="133"/>
      <c r="AP24" s="133"/>
      <c r="AQ24" s="133"/>
      <c r="AR24" s="133"/>
      <c r="AS24" s="133"/>
      <c r="AT24" s="133"/>
    </row>
    <row r="25" spans="41:46" s="167" customFormat="1" ht="15" customHeight="1">
      <c r="AO25" s="133"/>
      <c r="AP25" s="133"/>
      <c r="AQ25" s="133"/>
      <c r="AR25" s="133"/>
      <c r="AS25" s="133"/>
      <c r="AT25" s="133"/>
    </row>
    <row r="26" s="133" customFormat="1" ht="15" customHeight="1"/>
    <row r="27" s="133" customFormat="1" ht="15" customHeight="1"/>
    <row r="28" s="133" customFormat="1" ht="15" customHeight="1"/>
    <row r="29" s="133" customFormat="1" ht="15" customHeight="1"/>
    <row r="30" s="133" customFormat="1" ht="15" customHeight="1"/>
    <row r="31" s="133" customFormat="1" ht="15" customHeight="1"/>
    <row r="32" s="133" customFormat="1" ht="15" customHeight="1"/>
    <row r="33" s="133" customFormat="1" ht="15" customHeight="1"/>
    <row r="34" s="133" customFormat="1" ht="15" customHeight="1"/>
    <row r="35" s="133" customFormat="1" ht="15" customHeight="1"/>
    <row r="36" s="133" customFormat="1" ht="15" customHeight="1"/>
    <row r="37" s="133" customFormat="1" ht="15" customHeight="1"/>
    <row r="38" s="133" customFormat="1" ht="15" customHeight="1"/>
    <row r="39" s="133" customFormat="1" ht="15" customHeight="1"/>
    <row r="40" s="133" customFormat="1" ht="15" customHeight="1"/>
    <row r="41" s="133" customFormat="1" ht="15" customHeight="1"/>
    <row r="42" s="133" customFormat="1" ht="15" customHeight="1"/>
    <row r="43" s="133" customFormat="1" ht="15" customHeight="1"/>
    <row r="44" s="133" customFormat="1" ht="15" customHeight="1"/>
    <row r="45" s="133" customFormat="1" ht="15" customHeight="1"/>
    <row r="46" s="133" customFormat="1" ht="15" customHeight="1"/>
    <row r="47" s="133" customFormat="1" ht="15" customHeight="1"/>
    <row r="48" s="133" customFormat="1" ht="15" customHeight="1"/>
    <row r="49" s="133" customFormat="1" ht="15" customHeight="1"/>
    <row r="50" s="133" customFormat="1" ht="15" customHeight="1"/>
    <row r="51" s="133" customFormat="1" ht="15" customHeight="1"/>
    <row r="52" s="133" customFormat="1" ht="15" customHeight="1"/>
    <row r="53" s="133" customFormat="1" ht="15" customHeight="1"/>
    <row r="54" s="133" customFormat="1" ht="15" customHeight="1"/>
    <row r="55" s="133" customFormat="1" ht="15" customHeight="1"/>
    <row r="56" spans="41:46" s="133" customFormat="1" ht="15" customHeight="1">
      <c r="AO56"/>
      <c r="AP56"/>
      <c r="AQ56"/>
      <c r="AR56"/>
      <c r="AS56"/>
      <c r="AT56"/>
    </row>
    <row r="57" spans="41:46" s="133" customFormat="1" ht="15" customHeight="1">
      <c r="AO57"/>
      <c r="AP57"/>
      <c r="AQ57"/>
      <c r="AR57"/>
      <c r="AS57"/>
      <c r="AT57"/>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mergeCells count="6">
    <mergeCell ref="M22:Q22"/>
    <mergeCell ref="A14:AL14"/>
    <mergeCell ref="B17:AR17"/>
    <mergeCell ref="Z20:AK20"/>
    <mergeCell ref="M21:V21"/>
    <mergeCell ref="Z21:AK21"/>
  </mergeCells>
  <printOptions/>
  <pageMargins left="0.7298611111111112" right="0.1798611111111111" top="0.9840277777777778" bottom="0.9840277777777778" header="0.5118055555555556" footer="0.5118055555555556"/>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Z55"/>
  <sheetViews>
    <sheetView showZeros="0" workbookViewId="0" topLeftCell="A1">
      <selection activeCell="BE47" sqref="BE47"/>
    </sheetView>
  </sheetViews>
  <sheetFormatPr defaultColWidth="9.140625" defaultRowHeight="12.75"/>
  <cols>
    <col min="1" max="1" width="1.1484375" style="0" customWidth="1"/>
    <col min="2" max="50" width="2.00390625" style="0" customWidth="1"/>
    <col min="51" max="51" width="0.9921875" style="0" customWidth="1"/>
    <col min="52" max="16384" width="2.00390625" style="0" customWidth="1"/>
  </cols>
  <sheetData>
    <row r="1" spans="1:51" ht="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row>
    <row r="2" spans="1:51" ht="7.5" customHeight="1">
      <c r="A2" s="4"/>
      <c r="B2" s="1"/>
      <c r="C2" s="2"/>
      <c r="D2" s="2"/>
      <c r="E2" s="2"/>
      <c r="F2" s="2"/>
      <c r="G2" s="2"/>
      <c r="H2" s="2"/>
      <c r="I2" s="2"/>
      <c r="J2" s="2"/>
      <c r="K2" s="2"/>
      <c r="L2" s="2"/>
      <c r="M2" s="2"/>
      <c r="N2" s="2"/>
      <c r="O2" s="2"/>
      <c r="P2" s="2"/>
      <c r="Q2" s="2"/>
      <c r="R2" s="2"/>
      <c r="S2" s="2"/>
      <c r="T2" s="2"/>
      <c r="U2" s="2"/>
      <c r="V2" s="2"/>
      <c r="W2" s="2"/>
      <c r="X2" s="3"/>
      <c r="Y2" s="1"/>
      <c r="Z2" s="2"/>
      <c r="AA2" s="2"/>
      <c r="AB2" s="2"/>
      <c r="AC2" s="2"/>
      <c r="AD2" s="2"/>
      <c r="AE2" s="2"/>
      <c r="AF2" s="2"/>
      <c r="AG2" s="2"/>
      <c r="AH2" s="2"/>
      <c r="AI2" s="2"/>
      <c r="AJ2" s="2"/>
      <c r="AK2" s="2"/>
      <c r="AL2" s="2"/>
      <c r="AM2" s="2"/>
      <c r="AN2" s="2"/>
      <c r="AO2" s="2"/>
      <c r="AP2" s="2"/>
      <c r="AQ2" s="2"/>
      <c r="AR2" s="2"/>
      <c r="AS2" s="2"/>
      <c r="AT2" s="2"/>
      <c r="AU2" s="2"/>
      <c r="AV2" s="2"/>
      <c r="AW2" s="2"/>
      <c r="AX2" s="3"/>
      <c r="AY2" s="5"/>
    </row>
    <row r="3" spans="1:51" ht="18">
      <c r="A3" s="4"/>
      <c r="B3" s="375" t="s">
        <v>0</v>
      </c>
      <c r="C3" s="375"/>
      <c r="D3" s="375"/>
      <c r="E3" s="375"/>
      <c r="F3" s="375"/>
      <c r="G3" s="375"/>
      <c r="H3" s="375"/>
      <c r="I3" s="375"/>
      <c r="J3" s="375"/>
      <c r="K3" s="375"/>
      <c r="L3" s="375"/>
      <c r="M3" s="375"/>
      <c r="N3" s="375"/>
      <c r="O3" s="375"/>
      <c r="P3" s="375"/>
      <c r="Q3" s="375"/>
      <c r="R3" s="375"/>
      <c r="S3" s="375"/>
      <c r="T3" s="375"/>
      <c r="U3" s="375"/>
      <c r="V3" s="375"/>
      <c r="W3" s="375"/>
      <c r="X3" s="375"/>
      <c r="Y3" s="375" t="s">
        <v>1</v>
      </c>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5"/>
    </row>
    <row r="4" spans="1:52" ht="24.75" customHeight="1">
      <c r="A4" s="4"/>
      <c r="B4" s="376" t="s">
        <v>2</v>
      </c>
      <c r="C4" s="376"/>
      <c r="D4" s="376"/>
      <c r="E4" s="376"/>
      <c r="F4" s="376"/>
      <c r="G4" s="376"/>
      <c r="H4" s="376"/>
      <c r="I4" s="376"/>
      <c r="J4" s="376"/>
      <c r="K4" s="377" t="s">
        <v>3</v>
      </c>
      <c r="L4" s="377"/>
      <c r="M4" s="377"/>
      <c r="N4" s="377"/>
      <c r="O4" s="377"/>
      <c r="P4" s="378" t="s">
        <v>4</v>
      </c>
      <c r="Q4" s="378"/>
      <c r="R4" s="378"/>
      <c r="S4" s="378"/>
      <c r="T4" s="378"/>
      <c r="U4" s="378"/>
      <c r="V4" s="378"/>
      <c r="W4" s="378"/>
      <c r="X4" s="378"/>
      <c r="Y4" s="376" t="s">
        <v>2</v>
      </c>
      <c r="Z4" s="376"/>
      <c r="AA4" s="376"/>
      <c r="AB4" s="376"/>
      <c r="AC4" s="376"/>
      <c r="AD4" s="376"/>
      <c r="AE4" s="376"/>
      <c r="AF4" s="376"/>
      <c r="AG4" s="376"/>
      <c r="AH4" s="377" t="s">
        <v>3</v>
      </c>
      <c r="AI4" s="377"/>
      <c r="AJ4" s="377"/>
      <c r="AK4" s="377"/>
      <c r="AL4" s="377"/>
      <c r="AM4" s="377" t="s">
        <v>4</v>
      </c>
      <c r="AN4" s="377"/>
      <c r="AO4" s="377"/>
      <c r="AP4" s="377"/>
      <c r="AQ4" s="377"/>
      <c r="AR4" s="377"/>
      <c r="AS4" s="377"/>
      <c r="AT4" s="377"/>
      <c r="AU4" s="378" t="s">
        <v>5</v>
      </c>
      <c r="AV4" s="378"/>
      <c r="AW4" s="378"/>
      <c r="AX4" s="378"/>
      <c r="AY4" s="6"/>
      <c r="AZ4" s="7"/>
    </row>
    <row r="5" spans="1:52" ht="30.75" customHeight="1">
      <c r="A5" s="4"/>
      <c r="B5" s="376"/>
      <c r="C5" s="376"/>
      <c r="D5" s="376"/>
      <c r="E5" s="376"/>
      <c r="F5" s="376"/>
      <c r="G5" s="376"/>
      <c r="H5" s="376"/>
      <c r="I5" s="376"/>
      <c r="J5" s="376"/>
      <c r="K5" s="377"/>
      <c r="L5" s="377"/>
      <c r="M5" s="377"/>
      <c r="N5" s="377"/>
      <c r="O5" s="377"/>
      <c r="P5" s="377"/>
      <c r="Q5" s="377"/>
      <c r="R5" s="377"/>
      <c r="S5" s="377"/>
      <c r="T5" s="377"/>
      <c r="U5" s="378"/>
      <c r="V5" s="378"/>
      <c r="W5" s="378"/>
      <c r="X5" s="378"/>
      <c r="Y5" s="376"/>
      <c r="Z5" s="376"/>
      <c r="AA5" s="376"/>
      <c r="AB5" s="376"/>
      <c r="AC5" s="376"/>
      <c r="AD5" s="376"/>
      <c r="AE5" s="376"/>
      <c r="AF5" s="376"/>
      <c r="AG5" s="376"/>
      <c r="AH5" s="377"/>
      <c r="AI5" s="377"/>
      <c r="AJ5" s="377"/>
      <c r="AK5" s="377"/>
      <c r="AL5" s="377"/>
      <c r="AM5" s="377"/>
      <c r="AN5" s="377"/>
      <c r="AO5" s="377"/>
      <c r="AP5" s="377"/>
      <c r="AQ5" s="377"/>
      <c r="AR5" s="379"/>
      <c r="AS5" s="379"/>
      <c r="AT5" s="379"/>
      <c r="AU5" s="378"/>
      <c r="AV5" s="378"/>
      <c r="AW5" s="378"/>
      <c r="AX5" s="378"/>
      <c r="AY5" s="6"/>
      <c r="AZ5" s="7"/>
    </row>
    <row r="6" spans="1:51" ht="12.75">
      <c r="A6" s="4"/>
      <c r="B6" s="8"/>
      <c r="C6" s="9"/>
      <c r="D6" s="9"/>
      <c r="E6" s="9"/>
      <c r="F6" s="9"/>
      <c r="G6" s="9"/>
      <c r="H6" s="9"/>
      <c r="I6" s="9"/>
      <c r="J6" s="9"/>
      <c r="K6" s="9"/>
      <c r="L6" s="9"/>
      <c r="M6" s="9"/>
      <c r="N6" s="9"/>
      <c r="O6" s="9"/>
      <c r="P6" s="9"/>
      <c r="Q6" s="9"/>
      <c r="R6" s="9"/>
      <c r="S6" s="9"/>
      <c r="T6" s="9"/>
      <c r="U6" s="9"/>
      <c r="V6" s="9"/>
      <c r="W6" s="9"/>
      <c r="X6" s="10"/>
      <c r="Y6" s="8"/>
      <c r="Z6" s="9"/>
      <c r="AA6" s="9"/>
      <c r="AB6" s="9"/>
      <c r="AC6" s="9"/>
      <c r="AD6" s="9"/>
      <c r="AE6" s="9"/>
      <c r="AF6" s="9"/>
      <c r="AG6" s="9"/>
      <c r="AH6" s="9"/>
      <c r="AI6" s="9"/>
      <c r="AJ6" s="9"/>
      <c r="AK6" s="9"/>
      <c r="AL6" s="9"/>
      <c r="AM6" s="9"/>
      <c r="AN6" s="9"/>
      <c r="AO6" s="9"/>
      <c r="AP6" s="9"/>
      <c r="AQ6" s="9"/>
      <c r="AR6" s="9"/>
      <c r="AS6" s="9"/>
      <c r="AT6" s="9"/>
      <c r="AU6" s="9"/>
      <c r="AV6" s="9"/>
      <c r="AW6" s="9"/>
      <c r="AX6" s="10"/>
      <c r="AY6" s="5"/>
    </row>
    <row r="7" spans="1:51" ht="12.75">
      <c r="A7" s="4"/>
      <c r="B7" s="4"/>
      <c r="C7" s="11"/>
      <c r="D7" s="11"/>
      <c r="E7" s="11"/>
      <c r="F7" s="11"/>
      <c r="G7" s="11"/>
      <c r="H7" s="11"/>
      <c r="I7" s="11"/>
      <c r="J7" s="11"/>
      <c r="K7" s="11"/>
      <c r="L7" s="11"/>
      <c r="M7" s="11"/>
      <c r="N7" s="11"/>
      <c r="O7" s="11"/>
      <c r="P7" s="11"/>
      <c r="Q7" s="11"/>
      <c r="R7" s="11"/>
      <c r="S7" s="11"/>
      <c r="T7" s="11"/>
      <c r="U7" s="11"/>
      <c r="V7" s="11"/>
      <c r="W7" s="11"/>
      <c r="X7" s="5"/>
      <c r="Y7" s="4"/>
      <c r="Z7" s="11"/>
      <c r="AA7" s="11"/>
      <c r="AB7" s="11"/>
      <c r="AC7" s="11"/>
      <c r="AD7" s="11"/>
      <c r="AE7" s="11"/>
      <c r="AF7" s="11"/>
      <c r="AG7" s="11"/>
      <c r="AH7" s="11"/>
      <c r="AI7" s="11"/>
      <c r="AJ7" s="11"/>
      <c r="AK7" s="11"/>
      <c r="AL7" s="11"/>
      <c r="AM7" s="11"/>
      <c r="AN7" s="11"/>
      <c r="AO7" s="11"/>
      <c r="AP7" s="11"/>
      <c r="AQ7" s="11"/>
      <c r="AR7" s="11"/>
      <c r="AS7" s="11"/>
      <c r="AT7" s="11"/>
      <c r="AU7" s="11"/>
      <c r="AV7" s="11"/>
      <c r="AW7" s="11"/>
      <c r="AX7" s="5"/>
      <c r="AY7" s="5"/>
    </row>
    <row r="8" spans="1:51" ht="12.75">
      <c r="A8" s="4"/>
      <c r="B8" s="4"/>
      <c r="C8" s="11"/>
      <c r="D8" s="11"/>
      <c r="E8" s="11"/>
      <c r="F8" s="11"/>
      <c r="G8" s="11"/>
      <c r="H8" s="11"/>
      <c r="I8" s="11"/>
      <c r="J8" s="11"/>
      <c r="K8" s="11"/>
      <c r="L8" s="11"/>
      <c r="M8" s="11"/>
      <c r="N8" s="11"/>
      <c r="O8" s="11"/>
      <c r="P8" s="11"/>
      <c r="Q8" s="11"/>
      <c r="R8" s="11"/>
      <c r="S8" s="11"/>
      <c r="T8" s="11"/>
      <c r="U8" s="11"/>
      <c r="V8" s="11"/>
      <c r="W8" s="11"/>
      <c r="X8" s="5"/>
      <c r="Y8" s="4"/>
      <c r="Z8" s="11"/>
      <c r="AA8" s="11"/>
      <c r="AB8" s="11"/>
      <c r="AC8" s="11"/>
      <c r="AD8" s="11"/>
      <c r="AE8" s="11"/>
      <c r="AF8" s="11"/>
      <c r="AG8" s="11"/>
      <c r="AH8" s="11"/>
      <c r="AI8" s="11"/>
      <c r="AJ8" s="11"/>
      <c r="AK8" s="11"/>
      <c r="AL8" s="11"/>
      <c r="AM8" s="11"/>
      <c r="AN8" s="11"/>
      <c r="AO8" s="11"/>
      <c r="AP8" s="11"/>
      <c r="AQ8" s="11"/>
      <c r="AR8" s="11"/>
      <c r="AS8" s="11"/>
      <c r="AT8" s="11"/>
      <c r="AU8" s="11"/>
      <c r="AV8" s="11"/>
      <c r="AW8" s="11"/>
      <c r="AX8" s="5"/>
      <c r="AY8" s="5"/>
    </row>
    <row r="9" spans="1:51" ht="12.75">
      <c r="A9" s="4"/>
      <c r="B9" s="4"/>
      <c r="C9" s="11"/>
      <c r="D9" s="11"/>
      <c r="E9" s="11"/>
      <c r="F9" s="11"/>
      <c r="G9" s="11"/>
      <c r="H9" s="11"/>
      <c r="I9" s="11"/>
      <c r="J9" s="11"/>
      <c r="K9" s="11"/>
      <c r="L9" s="11"/>
      <c r="M9" s="11"/>
      <c r="N9" s="11"/>
      <c r="O9" s="11"/>
      <c r="P9" s="11"/>
      <c r="Q9" s="11"/>
      <c r="R9" s="11"/>
      <c r="S9" s="11"/>
      <c r="T9" s="11"/>
      <c r="U9" s="11"/>
      <c r="V9" s="11"/>
      <c r="W9" s="11"/>
      <c r="X9" s="5"/>
      <c r="Y9" s="4"/>
      <c r="Z9" s="11"/>
      <c r="AA9" s="11"/>
      <c r="AB9" s="11"/>
      <c r="AC9" s="11"/>
      <c r="AD9" s="11"/>
      <c r="AE9" s="11"/>
      <c r="AF9" s="11"/>
      <c r="AG9" s="11"/>
      <c r="AH9" s="11"/>
      <c r="AI9" s="11"/>
      <c r="AJ9" s="11"/>
      <c r="AK9" s="11"/>
      <c r="AL9" s="11"/>
      <c r="AM9" s="11"/>
      <c r="AN9" s="11"/>
      <c r="AO9" s="11"/>
      <c r="AP9" s="11"/>
      <c r="AQ9" s="11"/>
      <c r="AR9" s="11"/>
      <c r="AS9" s="11"/>
      <c r="AT9" s="11"/>
      <c r="AU9" s="11"/>
      <c r="AV9" s="11"/>
      <c r="AW9" s="11"/>
      <c r="AX9" s="5"/>
      <c r="AY9" s="5"/>
    </row>
    <row r="10" spans="1:51" ht="12.75">
      <c r="A10" s="4"/>
      <c r="B10" s="4"/>
      <c r="C10" s="11"/>
      <c r="D10" s="11"/>
      <c r="E10" s="11"/>
      <c r="F10" s="11"/>
      <c r="G10" s="11"/>
      <c r="H10" s="11"/>
      <c r="I10" s="11"/>
      <c r="J10" s="11"/>
      <c r="K10" s="11"/>
      <c r="L10" s="11"/>
      <c r="M10" s="11"/>
      <c r="N10" s="11"/>
      <c r="O10" s="11"/>
      <c r="P10" s="11"/>
      <c r="Q10" s="11"/>
      <c r="R10" s="11"/>
      <c r="S10" s="11"/>
      <c r="T10" s="11"/>
      <c r="U10" s="11"/>
      <c r="V10" s="11"/>
      <c r="W10" s="11"/>
      <c r="X10" s="5"/>
      <c r="Y10" s="4"/>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5"/>
      <c r="AY10" s="5"/>
    </row>
    <row r="11" spans="1:51" ht="12.75">
      <c r="A11" s="4"/>
      <c r="B11" s="4"/>
      <c r="C11" s="11"/>
      <c r="D11" s="11"/>
      <c r="E11" s="11"/>
      <c r="F11" s="11"/>
      <c r="G11" s="11"/>
      <c r="H11" s="11"/>
      <c r="I11" s="11"/>
      <c r="J11" s="11"/>
      <c r="K11" s="11"/>
      <c r="L11" s="11"/>
      <c r="M11" s="11"/>
      <c r="N11" s="11"/>
      <c r="O11" s="11"/>
      <c r="P11" s="11"/>
      <c r="Q11" s="11"/>
      <c r="R11" s="11"/>
      <c r="S11" s="11"/>
      <c r="T11" s="11"/>
      <c r="U11" s="11"/>
      <c r="V11" s="11"/>
      <c r="W11" s="11"/>
      <c r="X11" s="5"/>
      <c r="Y11" s="4"/>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5"/>
      <c r="AY11" s="5"/>
    </row>
    <row r="12" spans="1:51" ht="12.75">
      <c r="A12" s="4"/>
      <c r="B12" s="12"/>
      <c r="C12" s="13"/>
      <c r="D12" s="13"/>
      <c r="E12" s="13"/>
      <c r="F12" s="13"/>
      <c r="G12" s="13"/>
      <c r="H12" s="13"/>
      <c r="I12" s="13"/>
      <c r="J12" s="13"/>
      <c r="K12" s="13"/>
      <c r="L12" s="13"/>
      <c r="M12" s="13"/>
      <c r="N12" s="13"/>
      <c r="O12" s="13"/>
      <c r="P12" s="13"/>
      <c r="Q12" s="13"/>
      <c r="R12" s="13"/>
      <c r="S12" s="13"/>
      <c r="T12" s="13"/>
      <c r="U12" s="13"/>
      <c r="V12" s="13"/>
      <c r="W12" s="13"/>
      <c r="X12" s="14"/>
      <c r="Y12" s="12"/>
      <c r="Z12" s="13"/>
      <c r="AA12" s="13"/>
      <c r="AB12" s="13"/>
      <c r="AC12" s="13"/>
      <c r="AD12" s="13"/>
      <c r="AE12" s="13"/>
      <c r="AF12" s="13"/>
      <c r="AG12" s="13"/>
      <c r="AH12" s="13"/>
      <c r="AI12" s="13"/>
      <c r="AJ12" s="13"/>
      <c r="AK12" s="13"/>
      <c r="AL12" s="13"/>
      <c r="AM12" s="15"/>
      <c r="AN12" s="13"/>
      <c r="AO12" s="13"/>
      <c r="AP12" s="13"/>
      <c r="AQ12" s="13"/>
      <c r="AR12" s="13"/>
      <c r="AS12" s="13"/>
      <c r="AT12" s="13"/>
      <c r="AU12" s="13"/>
      <c r="AV12" s="13"/>
      <c r="AW12" s="13"/>
      <c r="AX12" s="14"/>
      <c r="AY12" s="5"/>
    </row>
    <row r="13" spans="1:51" ht="6" customHeight="1">
      <c r="A13" s="4"/>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6"/>
      <c r="AN13" s="11"/>
      <c r="AO13" s="11"/>
      <c r="AP13" s="11"/>
      <c r="AQ13" s="11"/>
      <c r="AR13" s="11"/>
      <c r="AS13" s="11"/>
      <c r="AT13" s="11"/>
      <c r="AU13" s="11"/>
      <c r="AV13" s="11"/>
      <c r="AW13" s="11"/>
      <c r="AX13" s="11"/>
      <c r="AY13" s="5"/>
    </row>
    <row r="14" spans="1:51" ht="34.5" customHeight="1">
      <c r="A14" s="4"/>
      <c r="B14" s="380" t="s">
        <v>6</v>
      </c>
      <c r="C14" s="380"/>
      <c r="D14" s="380"/>
      <c r="E14" s="380"/>
      <c r="F14" s="380"/>
      <c r="G14" s="380"/>
      <c r="H14" s="380"/>
      <c r="I14" s="380"/>
      <c r="J14" s="380"/>
      <c r="K14" s="380"/>
      <c r="L14" s="380"/>
      <c r="M14" s="380"/>
      <c r="N14" s="380"/>
      <c r="O14" s="380"/>
      <c r="P14" s="380"/>
      <c r="Q14" s="380"/>
      <c r="R14" s="380"/>
      <c r="S14" s="380"/>
      <c r="T14" s="380"/>
      <c r="U14" s="380"/>
      <c r="V14" s="380"/>
      <c r="W14" s="380"/>
      <c r="X14" s="380"/>
      <c r="Y14" s="381" t="s">
        <v>7</v>
      </c>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5"/>
    </row>
    <row r="15" spans="1:51" ht="12.75">
      <c r="A15" s="4"/>
      <c r="B15" s="4"/>
      <c r="C15" s="11"/>
      <c r="D15" s="11"/>
      <c r="E15" s="11"/>
      <c r="F15" s="11"/>
      <c r="G15" s="11"/>
      <c r="H15" s="11"/>
      <c r="I15" s="11"/>
      <c r="J15" s="11"/>
      <c r="K15" s="11"/>
      <c r="L15" s="11"/>
      <c r="M15" s="11"/>
      <c r="N15" s="11"/>
      <c r="O15" s="11"/>
      <c r="P15" s="11"/>
      <c r="Q15" s="11"/>
      <c r="R15" s="11"/>
      <c r="S15" s="11"/>
      <c r="T15" s="11"/>
      <c r="U15" s="11"/>
      <c r="V15" s="11"/>
      <c r="W15" s="11"/>
      <c r="X15" s="5"/>
      <c r="Y15" s="4"/>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5"/>
      <c r="AY15" s="5"/>
    </row>
    <row r="16" spans="1:51" ht="12.75">
      <c r="A16" s="4"/>
      <c r="B16" s="4"/>
      <c r="C16" s="11"/>
      <c r="D16" s="11"/>
      <c r="E16" s="11"/>
      <c r="F16" s="11"/>
      <c r="G16" s="11"/>
      <c r="H16" s="11"/>
      <c r="I16" s="11"/>
      <c r="J16" s="11"/>
      <c r="K16" s="11"/>
      <c r="L16" s="11"/>
      <c r="M16" s="11"/>
      <c r="N16" s="11"/>
      <c r="O16" s="11"/>
      <c r="P16" s="11"/>
      <c r="Q16" s="11"/>
      <c r="R16" s="11"/>
      <c r="S16" s="11"/>
      <c r="T16" s="11"/>
      <c r="U16" s="11"/>
      <c r="V16" s="11"/>
      <c r="W16" s="11"/>
      <c r="X16" s="5"/>
      <c r="Y16" s="4"/>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5"/>
      <c r="AY16" s="5"/>
    </row>
    <row r="17" spans="1:51" ht="12.75">
      <c r="A17" s="4"/>
      <c r="B17" s="4"/>
      <c r="C17" s="11"/>
      <c r="D17" s="11"/>
      <c r="E17" s="11"/>
      <c r="F17" s="11"/>
      <c r="G17" s="11"/>
      <c r="H17" s="11"/>
      <c r="I17" s="11"/>
      <c r="J17" s="11"/>
      <c r="K17" s="11"/>
      <c r="L17" s="11"/>
      <c r="M17" s="11"/>
      <c r="N17" s="11"/>
      <c r="O17" s="11"/>
      <c r="P17" s="11"/>
      <c r="Q17" s="11"/>
      <c r="R17" s="11"/>
      <c r="S17" s="11"/>
      <c r="T17" s="11"/>
      <c r="U17" s="11"/>
      <c r="V17" s="11"/>
      <c r="W17" s="11"/>
      <c r="X17" s="5"/>
      <c r="Y17" s="4"/>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5"/>
      <c r="AY17" s="5"/>
    </row>
    <row r="18" spans="1:51" ht="12.75">
      <c r="A18" s="4"/>
      <c r="B18" s="4"/>
      <c r="C18" s="11"/>
      <c r="D18" s="11"/>
      <c r="E18" s="11"/>
      <c r="F18" s="11"/>
      <c r="G18" s="11"/>
      <c r="H18" s="11"/>
      <c r="I18" s="11"/>
      <c r="J18" s="11"/>
      <c r="K18" s="11"/>
      <c r="L18" s="11"/>
      <c r="M18" s="11"/>
      <c r="N18" s="11"/>
      <c r="O18" s="11"/>
      <c r="P18" s="11"/>
      <c r="Q18" s="11"/>
      <c r="R18" s="11"/>
      <c r="S18" s="11"/>
      <c r="T18" s="11"/>
      <c r="U18" s="11"/>
      <c r="V18" s="11"/>
      <c r="W18" s="11"/>
      <c r="X18" s="5"/>
      <c r="Y18" s="4"/>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5"/>
      <c r="AY18" s="5"/>
    </row>
    <row r="19" spans="1:51" ht="12.75">
      <c r="A19" s="4"/>
      <c r="B19" s="4"/>
      <c r="C19" s="11"/>
      <c r="D19" s="11"/>
      <c r="E19" s="11"/>
      <c r="F19" s="11"/>
      <c r="G19" s="11"/>
      <c r="H19" s="11"/>
      <c r="I19" s="11"/>
      <c r="J19" s="11"/>
      <c r="K19" s="11"/>
      <c r="L19" s="11"/>
      <c r="M19" s="11"/>
      <c r="N19" s="11"/>
      <c r="O19" s="11"/>
      <c r="P19" s="11"/>
      <c r="Q19" s="11"/>
      <c r="R19" s="11"/>
      <c r="S19" s="11"/>
      <c r="T19" s="11"/>
      <c r="U19" s="11"/>
      <c r="V19" s="11"/>
      <c r="W19" s="11"/>
      <c r="X19" s="5"/>
      <c r="Y19" s="4"/>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5"/>
      <c r="AY19" s="5"/>
    </row>
    <row r="20" spans="1:51" ht="12.75">
      <c r="A20" s="4"/>
      <c r="B20" s="4"/>
      <c r="C20" s="11"/>
      <c r="D20" s="11"/>
      <c r="E20" s="11"/>
      <c r="F20" s="11"/>
      <c r="G20" s="11"/>
      <c r="H20" s="11"/>
      <c r="I20" s="11"/>
      <c r="J20" s="11"/>
      <c r="K20" s="11"/>
      <c r="L20" s="11"/>
      <c r="M20" s="11"/>
      <c r="N20" s="11"/>
      <c r="O20" s="11"/>
      <c r="P20" s="11"/>
      <c r="Q20" s="11"/>
      <c r="R20" s="11"/>
      <c r="S20" s="11"/>
      <c r="T20" s="11"/>
      <c r="U20" s="11"/>
      <c r="V20" s="11"/>
      <c r="W20" s="11"/>
      <c r="X20" s="5"/>
      <c r="Y20" s="4"/>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5"/>
      <c r="AY20" s="5"/>
    </row>
    <row r="21" spans="1:51" ht="12.75">
      <c r="A21" s="4"/>
      <c r="B21" s="4"/>
      <c r="C21" s="11"/>
      <c r="D21" s="11"/>
      <c r="E21" s="11"/>
      <c r="F21" s="11"/>
      <c r="G21" s="11"/>
      <c r="H21" s="11"/>
      <c r="I21" s="11"/>
      <c r="J21" s="11"/>
      <c r="K21" s="11"/>
      <c r="L21" s="11"/>
      <c r="M21" s="11"/>
      <c r="N21" s="11"/>
      <c r="O21" s="11"/>
      <c r="P21" s="11"/>
      <c r="Q21" s="11"/>
      <c r="R21" s="11"/>
      <c r="S21" s="11"/>
      <c r="T21" s="11"/>
      <c r="U21" s="11"/>
      <c r="V21" s="11"/>
      <c r="W21" s="11"/>
      <c r="X21" s="5"/>
      <c r="Y21" s="4"/>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5"/>
      <c r="AY21" s="5"/>
    </row>
    <row r="22" spans="1:51" ht="12.75">
      <c r="A22" s="4"/>
      <c r="B22" s="4"/>
      <c r="C22" s="11"/>
      <c r="D22" s="11"/>
      <c r="E22" s="11"/>
      <c r="F22" s="11"/>
      <c r="G22" s="11"/>
      <c r="H22" s="11"/>
      <c r="I22" s="11"/>
      <c r="J22" s="11"/>
      <c r="K22" s="11"/>
      <c r="L22" s="11"/>
      <c r="M22" s="11"/>
      <c r="N22" s="11"/>
      <c r="O22" s="11"/>
      <c r="P22" s="11"/>
      <c r="Q22" s="11"/>
      <c r="R22" s="11"/>
      <c r="S22" s="11"/>
      <c r="T22" s="11"/>
      <c r="U22" s="11"/>
      <c r="V22" s="11"/>
      <c r="W22" s="11"/>
      <c r="X22" s="5"/>
      <c r="Y22" s="4"/>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5"/>
      <c r="AY22" s="5"/>
    </row>
    <row r="23" spans="1:51" ht="12.75">
      <c r="A23" s="4"/>
      <c r="B23" s="4"/>
      <c r="C23" s="11"/>
      <c r="D23" s="11"/>
      <c r="E23" s="11"/>
      <c r="F23" s="11"/>
      <c r="G23" s="11"/>
      <c r="H23" s="11"/>
      <c r="I23" s="11"/>
      <c r="J23" s="11"/>
      <c r="K23" s="11"/>
      <c r="L23" s="11"/>
      <c r="M23" s="11"/>
      <c r="N23" s="11"/>
      <c r="O23" s="11"/>
      <c r="P23" s="11"/>
      <c r="Q23" s="11"/>
      <c r="R23" s="11"/>
      <c r="S23" s="11"/>
      <c r="T23" s="11"/>
      <c r="U23" s="11"/>
      <c r="V23" s="11"/>
      <c r="W23" s="11"/>
      <c r="X23" s="5"/>
      <c r="Y23" s="4"/>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5"/>
      <c r="AY23" s="5"/>
    </row>
    <row r="24" spans="1:51" ht="12.75">
      <c r="A24" s="4"/>
      <c r="B24" s="4"/>
      <c r="C24" s="11"/>
      <c r="D24" s="11"/>
      <c r="E24" s="11"/>
      <c r="F24" s="11"/>
      <c r="G24" s="11"/>
      <c r="H24" s="11"/>
      <c r="I24" s="11"/>
      <c r="J24" s="11"/>
      <c r="K24" s="11"/>
      <c r="L24" s="11"/>
      <c r="M24" s="11"/>
      <c r="N24" s="11"/>
      <c r="O24" s="11"/>
      <c r="P24" s="11"/>
      <c r="Q24" s="11"/>
      <c r="R24" s="11"/>
      <c r="S24" s="11"/>
      <c r="T24" s="11"/>
      <c r="U24" s="11"/>
      <c r="V24" s="11"/>
      <c r="W24" s="11"/>
      <c r="X24" s="5"/>
      <c r="Y24" s="4"/>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5"/>
      <c r="AY24" s="5"/>
    </row>
    <row r="25" spans="1:51" ht="12.75">
      <c r="A25" s="4"/>
      <c r="B25" s="4"/>
      <c r="C25" s="11"/>
      <c r="D25" s="11"/>
      <c r="E25" s="11"/>
      <c r="F25" s="11"/>
      <c r="G25" s="11"/>
      <c r="H25" s="11"/>
      <c r="I25" s="11"/>
      <c r="J25" s="11"/>
      <c r="K25" s="11"/>
      <c r="L25" s="11"/>
      <c r="M25" s="11"/>
      <c r="N25" s="11"/>
      <c r="O25" s="11"/>
      <c r="P25" s="11"/>
      <c r="Q25" s="11"/>
      <c r="R25" s="11"/>
      <c r="S25" s="11"/>
      <c r="T25" s="11"/>
      <c r="U25" s="11"/>
      <c r="V25" s="11"/>
      <c r="W25" s="11"/>
      <c r="X25" s="5"/>
      <c r="Y25" s="4"/>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5"/>
      <c r="AY25" s="5"/>
    </row>
    <row r="26" spans="1:51" ht="12.75" customHeight="1">
      <c r="A26" s="4"/>
      <c r="B26" s="12"/>
      <c r="C26" s="13"/>
      <c r="D26" s="13"/>
      <c r="E26" s="13"/>
      <c r="F26" s="13"/>
      <c r="G26" s="13"/>
      <c r="H26" s="13"/>
      <c r="I26" s="13"/>
      <c r="J26" s="13"/>
      <c r="K26" s="13"/>
      <c r="L26" s="13"/>
      <c r="M26" s="13"/>
      <c r="N26" s="13"/>
      <c r="O26" s="13"/>
      <c r="P26" s="13"/>
      <c r="Q26" s="13"/>
      <c r="R26" s="13"/>
      <c r="S26" s="13"/>
      <c r="T26" s="13"/>
      <c r="U26" s="13"/>
      <c r="V26" s="13"/>
      <c r="W26" s="13"/>
      <c r="X26" s="14"/>
      <c r="Y26" s="12"/>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4"/>
      <c r="AY26" s="5"/>
    </row>
    <row r="27" spans="1:51" ht="6" customHeight="1">
      <c r="A27" s="4"/>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5"/>
    </row>
    <row r="28" spans="1:51" ht="12.75" customHeight="1">
      <c r="A28" s="4"/>
      <c r="B28" s="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3"/>
      <c r="AY28" s="5"/>
    </row>
    <row r="29" spans="1:51" ht="12.75" customHeight="1">
      <c r="A29" s="4"/>
      <c r="B29" s="4"/>
      <c r="C29" s="11"/>
      <c r="D29" s="11"/>
      <c r="E29" s="11"/>
      <c r="F29" s="11"/>
      <c r="G29" s="11"/>
      <c r="H29" s="11"/>
      <c r="I29" s="11"/>
      <c r="J29" s="11"/>
      <c r="K29" s="11"/>
      <c r="L29" s="11"/>
      <c r="M29" s="11"/>
      <c r="N29" s="11"/>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1"/>
      <c r="AR29" s="11"/>
      <c r="AS29" s="11"/>
      <c r="AT29" s="11"/>
      <c r="AU29" s="11"/>
      <c r="AV29" s="11"/>
      <c r="AW29" s="11"/>
      <c r="AX29" s="5"/>
      <c r="AY29" s="5"/>
    </row>
    <row r="30" spans="1:51" ht="12.75" customHeight="1">
      <c r="A30" s="4"/>
      <c r="B30" s="4"/>
      <c r="C30" s="11"/>
      <c r="D30" s="11"/>
      <c r="E30" s="11"/>
      <c r="F30" s="11"/>
      <c r="G30" s="11"/>
      <c r="H30" s="11"/>
      <c r="I30" s="11"/>
      <c r="J30" s="11"/>
      <c r="K30" s="11"/>
      <c r="L30" s="11"/>
      <c r="M30" s="11"/>
      <c r="N30" s="11"/>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1"/>
      <c r="AR30" s="11"/>
      <c r="AS30" s="11"/>
      <c r="AT30" s="11"/>
      <c r="AU30" s="11"/>
      <c r="AV30" s="11"/>
      <c r="AW30" s="11"/>
      <c r="AX30" s="5"/>
      <c r="AY30" s="5"/>
    </row>
    <row r="31" spans="1:51" ht="12.75" customHeight="1">
      <c r="A31" s="4"/>
      <c r="B31" s="4"/>
      <c r="C31" s="11"/>
      <c r="D31" s="11"/>
      <c r="E31" s="11"/>
      <c r="F31" s="11"/>
      <c r="G31" s="11"/>
      <c r="H31" s="11"/>
      <c r="I31" s="11"/>
      <c r="J31" s="11"/>
      <c r="K31" s="11"/>
      <c r="L31" s="11"/>
      <c r="M31" s="11"/>
      <c r="N31" s="11"/>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1"/>
      <c r="AR31" s="11"/>
      <c r="AS31" s="11"/>
      <c r="AT31" s="11"/>
      <c r="AU31" s="11"/>
      <c r="AV31" s="11"/>
      <c r="AW31" s="11"/>
      <c r="AX31" s="5"/>
      <c r="AY31" s="5"/>
    </row>
    <row r="32" spans="1:51" ht="10.5" customHeight="1">
      <c r="A32" s="4"/>
      <c r="B32" s="4"/>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5"/>
      <c r="AY32" s="5"/>
    </row>
    <row r="33" spans="1:51" ht="24">
      <c r="A33" s="4"/>
      <c r="B33" s="4"/>
      <c r="C33" s="11"/>
      <c r="D33" s="11"/>
      <c r="E33" s="11"/>
      <c r="F33" s="11"/>
      <c r="G33" s="11"/>
      <c r="H33" s="11"/>
      <c r="I33" s="11"/>
      <c r="J33" s="11"/>
      <c r="K33" s="11"/>
      <c r="L33" s="11"/>
      <c r="M33" s="11"/>
      <c r="N33" s="11"/>
      <c r="O33" s="18"/>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1"/>
      <c r="AR33" s="11"/>
      <c r="AS33" s="11"/>
      <c r="AT33" s="11"/>
      <c r="AU33" s="11"/>
      <c r="AV33" s="11"/>
      <c r="AW33" s="11"/>
      <c r="AX33" s="5"/>
      <c r="AY33" s="5"/>
    </row>
    <row r="34" spans="1:51" ht="24">
      <c r="A34" s="4"/>
      <c r="B34" s="4"/>
      <c r="C34" s="11"/>
      <c r="D34" s="11"/>
      <c r="E34" s="11"/>
      <c r="F34" s="11"/>
      <c r="G34" s="11"/>
      <c r="H34" s="11"/>
      <c r="I34" s="11"/>
      <c r="J34" s="11"/>
      <c r="K34" s="11"/>
      <c r="M34" s="11"/>
      <c r="N34" s="11"/>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1"/>
      <c r="AR34" s="11"/>
      <c r="AS34" s="11"/>
      <c r="AT34" s="11"/>
      <c r="AU34" s="11"/>
      <c r="AV34" s="11"/>
      <c r="AW34" s="11"/>
      <c r="AX34" s="5"/>
      <c r="AY34" s="5"/>
    </row>
    <row r="35" spans="1:51" ht="14.25">
      <c r="A35" s="4"/>
      <c r="B35" s="4"/>
      <c r="C35" s="11"/>
      <c r="D35" s="11"/>
      <c r="E35" s="11"/>
      <c r="F35" s="11"/>
      <c r="G35" s="11"/>
      <c r="H35" s="20"/>
      <c r="I35" s="11"/>
      <c r="J35" s="11"/>
      <c r="K35" s="11"/>
      <c r="L35" s="11"/>
      <c r="M35" s="11"/>
      <c r="N35" s="11"/>
      <c r="O35" s="11"/>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11"/>
      <c r="AQ35" s="11"/>
      <c r="AR35" s="11"/>
      <c r="AS35" s="11"/>
      <c r="AT35" s="11"/>
      <c r="AU35" s="11"/>
      <c r="AV35" s="11"/>
      <c r="AW35" s="11"/>
      <c r="AX35" s="5"/>
      <c r="AY35" s="5"/>
    </row>
    <row r="36" spans="1:51" ht="14.25">
      <c r="A36" s="4"/>
      <c r="B36" s="4"/>
      <c r="C36" s="11"/>
      <c r="D36" s="11"/>
      <c r="E36" s="11"/>
      <c r="F36" s="11"/>
      <c r="G36" s="11"/>
      <c r="H36" s="11"/>
      <c r="I36" s="11"/>
      <c r="J36" s="11"/>
      <c r="K36" s="11"/>
      <c r="L36" s="11"/>
      <c r="M36" s="11"/>
      <c r="N36" s="11"/>
      <c r="O36" s="1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11"/>
      <c r="AQ36" s="11"/>
      <c r="AR36" s="11"/>
      <c r="AS36" s="11"/>
      <c r="AT36" s="11"/>
      <c r="AU36" s="11"/>
      <c r="AV36" s="11"/>
      <c r="AW36" s="11"/>
      <c r="AX36" s="5"/>
      <c r="AY36" s="5"/>
    </row>
    <row r="37" spans="1:51" ht="14.25">
      <c r="A37" s="4"/>
      <c r="B37" s="4"/>
      <c r="C37" s="11"/>
      <c r="D37" s="11"/>
      <c r="E37" s="11"/>
      <c r="F37" s="11"/>
      <c r="G37" s="11"/>
      <c r="H37" s="11"/>
      <c r="I37" s="11"/>
      <c r="J37" s="11"/>
      <c r="K37" s="11"/>
      <c r="L37" s="11"/>
      <c r="M37" s="11"/>
      <c r="N37" s="11"/>
      <c r="O37" s="11"/>
      <c r="P37" s="21"/>
      <c r="Q37" s="21"/>
      <c r="R37" s="21"/>
      <c r="S37" s="21"/>
      <c r="T37" s="21"/>
      <c r="U37" s="21"/>
      <c r="V37" s="21"/>
      <c r="W37" s="21"/>
      <c r="X37" s="21"/>
      <c r="Y37" s="21"/>
      <c r="Z37" s="21"/>
      <c r="AA37" s="21"/>
      <c r="AB37" s="21"/>
      <c r="AC37" s="21"/>
      <c r="AD37" s="21"/>
      <c r="AE37" s="21"/>
      <c r="AF37" s="11"/>
      <c r="AG37" s="11"/>
      <c r="AH37" s="11"/>
      <c r="AI37" s="11"/>
      <c r="AJ37" s="11"/>
      <c r="AK37" s="11"/>
      <c r="AL37" s="11"/>
      <c r="AM37" s="11"/>
      <c r="AN37" s="11"/>
      <c r="AO37" s="11"/>
      <c r="AP37" s="11"/>
      <c r="AQ37" s="11"/>
      <c r="AR37" s="11"/>
      <c r="AS37" s="11"/>
      <c r="AT37" s="11"/>
      <c r="AU37" s="11"/>
      <c r="AV37" s="11"/>
      <c r="AW37" s="11"/>
      <c r="AX37" s="5"/>
      <c r="AY37" s="5"/>
    </row>
    <row r="38" spans="1:51" ht="12.75">
      <c r="A38" s="4"/>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c r="AY38" s="5"/>
    </row>
    <row r="39" spans="1:51" ht="6" customHeight="1">
      <c r="A39" s="4"/>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5"/>
    </row>
    <row r="40" spans="1:51" ht="15" customHeight="1">
      <c r="A40" s="4"/>
      <c r="B40" s="382" t="s">
        <v>30</v>
      </c>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5"/>
    </row>
    <row r="41" spans="1:51" ht="12.75">
      <c r="A41" s="4"/>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5"/>
    </row>
    <row r="42" spans="1:51" ht="6.75" customHeight="1">
      <c r="A42" s="4"/>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4"/>
      <c r="AY42" s="5"/>
    </row>
    <row r="43" spans="1:51" ht="6" customHeight="1">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5"/>
    </row>
    <row r="44" spans="1:51" ht="18.75" customHeight="1">
      <c r="A44" s="4"/>
      <c r="B44" s="383" t="s">
        <v>9</v>
      </c>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5"/>
    </row>
    <row r="45" spans="1:51" ht="19.5" customHeight="1">
      <c r="A45" s="4"/>
      <c r="B45" s="376" t="s">
        <v>10</v>
      </c>
      <c r="C45" s="376"/>
      <c r="D45" s="376"/>
      <c r="E45" s="376"/>
      <c r="F45" s="376"/>
      <c r="G45" s="377" t="s">
        <v>11</v>
      </c>
      <c r="H45" s="377"/>
      <c r="I45" s="377"/>
      <c r="J45" s="377"/>
      <c r="K45" s="377"/>
      <c r="L45" s="377" t="s">
        <v>12</v>
      </c>
      <c r="M45" s="377"/>
      <c r="N45" s="377"/>
      <c r="O45" s="377"/>
      <c r="P45" s="377"/>
      <c r="Q45" s="377"/>
      <c r="R45" s="377"/>
      <c r="S45" s="377"/>
      <c r="T45" s="377"/>
      <c r="U45" s="377" t="s">
        <v>13</v>
      </c>
      <c r="V45" s="377"/>
      <c r="W45" s="377"/>
      <c r="X45" s="377"/>
      <c r="Y45" s="377"/>
      <c r="Z45" s="377"/>
      <c r="AA45" s="377"/>
      <c r="AB45" s="377"/>
      <c r="AC45" s="377"/>
      <c r="AD45" s="377"/>
      <c r="AE45" s="377" t="s">
        <v>14</v>
      </c>
      <c r="AF45" s="377"/>
      <c r="AG45" s="377"/>
      <c r="AH45" s="377"/>
      <c r="AI45" s="377" t="s">
        <v>15</v>
      </c>
      <c r="AJ45" s="377"/>
      <c r="AK45" s="377"/>
      <c r="AL45" s="377"/>
      <c r="AM45" s="377"/>
      <c r="AN45" s="377" t="s">
        <v>16</v>
      </c>
      <c r="AO45" s="377"/>
      <c r="AP45" s="377"/>
      <c r="AQ45" s="377"/>
      <c r="AR45" s="378" t="s">
        <v>17</v>
      </c>
      <c r="AS45" s="378"/>
      <c r="AT45" s="378"/>
      <c r="AU45" s="378"/>
      <c r="AV45" s="378"/>
      <c r="AW45" s="378"/>
      <c r="AX45" s="378"/>
      <c r="AY45" s="5"/>
    </row>
    <row r="46" spans="1:51" ht="19.5" customHeight="1">
      <c r="A46" s="4"/>
      <c r="B46" s="384">
        <f>SÖZLEŞME!B17</f>
        <v>0</v>
      </c>
      <c r="C46" s="384"/>
      <c r="D46" s="384"/>
      <c r="E46" s="384"/>
      <c r="F46" s="384"/>
      <c r="G46" s="385">
        <f>SÖZLEŞME!G17</f>
        <v>0</v>
      </c>
      <c r="H46" s="385"/>
      <c r="I46" s="385"/>
      <c r="J46" s="385"/>
      <c r="K46" s="385"/>
      <c r="L46" s="385">
        <f>SÖZLEŞME!K17</f>
        <v>0</v>
      </c>
      <c r="M46" s="385"/>
      <c r="N46" s="385"/>
      <c r="O46" s="385"/>
      <c r="P46" s="385"/>
      <c r="Q46" s="385"/>
      <c r="R46" s="385"/>
      <c r="S46" s="385"/>
      <c r="T46" s="385"/>
      <c r="U46" s="385">
        <f>SÖZLEŞME!R17</f>
        <v>0</v>
      </c>
      <c r="V46" s="385"/>
      <c r="W46" s="385"/>
      <c r="X46" s="385"/>
      <c r="Y46" s="385"/>
      <c r="Z46" s="385"/>
      <c r="AA46" s="385"/>
      <c r="AB46" s="385"/>
      <c r="AC46" s="385"/>
      <c r="AD46" s="385"/>
      <c r="AE46" s="386">
        <f>SÖZLEŞME!AA17</f>
        <v>0</v>
      </c>
      <c r="AF46" s="386"/>
      <c r="AG46" s="386"/>
      <c r="AH46" s="386"/>
      <c r="AI46" s="385">
        <f>SÖZLEŞME!AF17</f>
        <v>0</v>
      </c>
      <c r="AJ46" s="385"/>
      <c r="AK46" s="385"/>
      <c r="AL46" s="385"/>
      <c r="AM46" s="385"/>
      <c r="AN46" s="386">
        <f>SÖZLEŞME!AJ17</f>
        <v>0</v>
      </c>
      <c r="AO46" s="386"/>
      <c r="AP46" s="386"/>
      <c r="AQ46" s="386"/>
      <c r="AR46" s="378"/>
      <c r="AS46" s="378"/>
      <c r="AT46" s="378"/>
      <c r="AU46" s="378"/>
      <c r="AV46" s="378"/>
      <c r="AW46" s="378"/>
      <c r="AX46" s="378"/>
      <c r="AY46" s="5"/>
    </row>
    <row r="47" spans="1:51" ht="20.25">
      <c r="A47" s="4"/>
      <c r="B47" s="387" t="s">
        <v>18</v>
      </c>
      <c r="C47" s="387"/>
      <c r="D47" s="387"/>
      <c r="E47" s="387"/>
      <c r="F47" s="387"/>
      <c r="G47" s="387"/>
      <c r="H47" s="387"/>
      <c r="I47" s="387"/>
      <c r="J47" s="387"/>
      <c r="K47" s="387"/>
      <c r="L47" s="388">
        <f>SÖZLEŞME!Y7</f>
        <v>0</v>
      </c>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9" t="s">
        <v>19</v>
      </c>
      <c r="AS47" s="389"/>
      <c r="AT47" s="389"/>
      <c r="AU47" s="389"/>
      <c r="AV47" s="389"/>
      <c r="AW47" s="389"/>
      <c r="AX47" s="389"/>
      <c r="AY47" s="5"/>
    </row>
    <row r="48" spans="1:51" ht="17.25" customHeight="1">
      <c r="A48" s="4"/>
      <c r="B48" s="390" t="s">
        <v>20</v>
      </c>
      <c r="C48" s="390"/>
      <c r="D48" s="390"/>
      <c r="E48" s="390"/>
      <c r="F48" s="390"/>
      <c r="G48" s="390"/>
      <c r="H48" s="390"/>
      <c r="I48" s="390"/>
      <c r="J48" s="390"/>
      <c r="K48" s="390"/>
      <c r="L48" s="391">
        <f>SÖZLEŞME!Y8</f>
        <v>0</v>
      </c>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2"/>
      <c r="AS48" s="392"/>
      <c r="AT48" s="392"/>
      <c r="AU48" s="392"/>
      <c r="AV48" s="392"/>
      <c r="AW48" s="392"/>
      <c r="AX48" s="392"/>
      <c r="AY48" s="5"/>
    </row>
    <row r="49" spans="1:51" ht="6" customHeight="1">
      <c r="A49" s="4"/>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5"/>
    </row>
    <row r="50" spans="1:51" ht="15">
      <c r="A50" s="4"/>
      <c r="B50" s="393" t="s">
        <v>21</v>
      </c>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5"/>
    </row>
    <row r="51" spans="1:51" ht="45" customHeight="1">
      <c r="A51" s="4"/>
      <c r="B51" s="394" t="s">
        <v>22</v>
      </c>
      <c r="C51" s="394"/>
      <c r="D51" s="394"/>
      <c r="E51" s="394"/>
      <c r="F51" s="394"/>
      <c r="G51" s="395" t="s">
        <v>23</v>
      </c>
      <c r="H51" s="395"/>
      <c r="I51" s="395"/>
      <c r="J51" s="395"/>
      <c r="K51" s="395"/>
      <c r="L51" s="395" t="s">
        <v>24</v>
      </c>
      <c r="M51" s="395"/>
      <c r="N51" s="395"/>
      <c r="O51" s="395"/>
      <c r="P51" s="395"/>
      <c r="Q51" s="395"/>
      <c r="R51" s="395"/>
      <c r="S51" s="395"/>
      <c r="T51" s="395"/>
      <c r="U51" s="395" t="s">
        <v>25</v>
      </c>
      <c r="V51" s="395"/>
      <c r="W51" s="395"/>
      <c r="X51" s="395"/>
      <c r="Y51" s="395"/>
      <c r="Z51" s="395"/>
      <c r="AA51" s="395"/>
      <c r="AB51" s="395"/>
      <c r="AC51" s="395"/>
      <c r="AD51" s="395" t="s">
        <v>26</v>
      </c>
      <c r="AE51" s="395"/>
      <c r="AF51" s="395"/>
      <c r="AG51" s="395"/>
      <c r="AH51" s="395"/>
      <c r="AI51" s="395" t="s">
        <v>27</v>
      </c>
      <c r="AJ51" s="395"/>
      <c r="AK51" s="395"/>
      <c r="AL51" s="395"/>
      <c r="AM51" s="395"/>
      <c r="AN51" s="395" t="s">
        <v>28</v>
      </c>
      <c r="AO51" s="395"/>
      <c r="AP51" s="395"/>
      <c r="AQ51" s="395"/>
      <c r="AR51" s="396" t="s">
        <v>29</v>
      </c>
      <c r="AS51" s="396"/>
      <c r="AT51" s="396"/>
      <c r="AU51" s="396"/>
      <c r="AV51" s="396"/>
      <c r="AW51" s="396"/>
      <c r="AX51" s="396"/>
      <c r="AY51" s="5"/>
    </row>
    <row r="52" spans="1:51" ht="6.75" customHeight="1">
      <c r="A52" s="4"/>
      <c r="B52" s="397"/>
      <c r="C52" s="397"/>
      <c r="D52" s="397"/>
      <c r="E52" s="397"/>
      <c r="F52" s="397"/>
      <c r="G52" s="398">
        <f>'ASGARİ ÜCRET FORMU'!F22</f>
        <v>2</v>
      </c>
      <c r="H52" s="398"/>
      <c r="I52" s="398"/>
      <c r="J52" s="398"/>
      <c r="K52" s="398"/>
      <c r="L52" s="399">
        <f>'ASGARİ ÜCRET FORMU'!C28</f>
        <v>245</v>
      </c>
      <c r="M52" s="399"/>
      <c r="N52" s="399"/>
      <c r="O52" s="399"/>
      <c r="P52" s="399"/>
      <c r="Q52" s="399"/>
      <c r="R52" s="399"/>
      <c r="S52" s="399"/>
      <c r="T52" s="399"/>
      <c r="U52" s="398">
        <f>SÖZLEŞME!G27</f>
        <v>0</v>
      </c>
      <c r="V52" s="398"/>
      <c r="W52" s="398"/>
      <c r="X52" s="398"/>
      <c r="Y52" s="398"/>
      <c r="Z52" s="398"/>
      <c r="AA52" s="398"/>
      <c r="AB52" s="398"/>
      <c r="AC52" s="398"/>
      <c r="AD52" s="398">
        <f>SÖZLEŞME!K27</f>
        <v>2</v>
      </c>
      <c r="AE52" s="398"/>
      <c r="AF52" s="398"/>
      <c r="AG52" s="398"/>
      <c r="AH52" s="398"/>
      <c r="AI52" s="398">
        <f>SÖZLEŞME!N27</f>
        <v>250</v>
      </c>
      <c r="AJ52" s="398"/>
      <c r="AK52" s="398"/>
      <c r="AL52" s="398"/>
      <c r="AM52" s="398"/>
      <c r="AN52" s="398">
        <f>SÖZLEŞME!AD27</f>
        <v>9</v>
      </c>
      <c r="AO52" s="398"/>
      <c r="AP52" s="398"/>
      <c r="AQ52" s="398"/>
      <c r="AR52" s="400" t="str">
        <f>SÖZLEŞME!B27</f>
        <v>Konut </v>
      </c>
      <c r="AS52" s="400"/>
      <c r="AT52" s="400"/>
      <c r="AU52" s="400"/>
      <c r="AV52" s="400"/>
      <c r="AW52" s="400"/>
      <c r="AX52" s="400"/>
      <c r="AY52" s="5"/>
    </row>
    <row r="53" spans="1:51" ht="12.75">
      <c r="A53" s="4"/>
      <c r="B53" s="397"/>
      <c r="C53" s="397"/>
      <c r="D53" s="397"/>
      <c r="E53" s="397"/>
      <c r="F53" s="397"/>
      <c r="G53" s="398"/>
      <c r="H53" s="398"/>
      <c r="I53" s="398"/>
      <c r="J53" s="398"/>
      <c r="K53" s="398"/>
      <c r="L53" s="399"/>
      <c r="M53" s="399"/>
      <c r="N53" s="399"/>
      <c r="O53" s="399"/>
      <c r="P53" s="399"/>
      <c r="Q53" s="399"/>
      <c r="R53" s="399"/>
      <c r="S53" s="399"/>
      <c r="T53" s="399"/>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400"/>
      <c r="AS53" s="400"/>
      <c r="AT53" s="400"/>
      <c r="AU53" s="400"/>
      <c r="AV53" s="400"/>
      <c r="AW53" s="400"/>
      <c r="AX53" s="400"/>
      <c r="AY53" s="5"/>
    </row>
    <row r="54" spans="1:51" ht="6.75" customHeight="1">
      <c r="A54" s="4"/>
      <c r="B54" s="397"/>
      <c r="C54" s="397"/>
      <c r="D54" s="397"/>
      <c r="E54" s="397"/>
      <c r="F54" s="397"/>
      <c r="G54" s="398"/>
      <c r="H54" s="398"/>
      <c r="I54" s="398"/>
      <c r="J54" s="398"/>
      <c r="K54" s="398"/>
      <c r="L54" s="399"/>
      <c r="M54" s="399"/>
      <c r="N54" s="399"/>
      <c r="O54" s="399"/>
      <c r="P54" s="399"/>
      <c r="Q54" s="399"/>
      <c r="R54" s="399"/>
      <c r="S54" s="399"/>
      <c r="T54" s="399"/>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400"/>
      <c r="AS54" s="400"/>
      <c r="AT54" s="400"/>
      <c r="AU54" s="400"/>
      <c r="AV54" s="400"/>
      <c r="AW54" s="400"/>
      <c r="AX54" s="400"/>
      <c r="AY54" s="5"/>
    </row>
    <row r="55" spans="1:51" ht="7.5" customHeight="1">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4"/>
    </row>
    <row r="56" ht="6.75" customHeight="1"/>
  </sheetData>
  <mergeCells count="61">
    <mergeCell ref="AD52:AH54"/>
    <mergeCell ref="AI52:AM54"/>
    <mergeCell ref="AN52:AQ54"/>
    <mergeCell ref="AR52:AX54"/>
    <mergeCell ref="B52:F54"/>
    <mergeCell ref="G52:K54"/>
    <mergeCell ref="L52:T54"/>
    <mergeCell ref="U52:AC54"/>
    <mergeCell ref="B50:AX50"/>
    <mergeCell ref="B51:F51"/>
    <mergeCell ref="G51:K51"/>
    <mergeCell ref="L51:T51"/>
    <mergeCell ref="U51:AC51"/>
    <mergeCell ref="AD51:AH51"/>
    <mergeCell ref="AI51:AM51"/>
    <mergeCell ref="AN51:AQ51"/>
    <mergeCell ref="AR51:AX51"/>
    <mergeCell ref="B47:K47"/>
    <mergeCell ref="L47:AQ47"/>
    <mergeCell ref="AR47:AX47"/>
    <mergeCell ref="B48:K48"/>
    <mergeCell ref="L48:AQ48"/>
    <mergeCell ref="AR48:AX48"/>
    <mergeCell ref="AE46:AH46"/>
    <mergeCell ref="AI46:AM46"/>
    <mergeCell ref="AN46:AQ46"/>
    <mergeCell ref="AR46:AX46"/>
    <mergeCell ref="B46:F46"/>
    <mergeCell ref="G46:K46"/>
    <mergeCell ref="L46:T46"/>
    <mergeCell ref="U46:AD46"/>
    <mergeCell ref="B44:AX44"/>
    <mergeCell ref="B45:F45"/>
    <mergeCell ref="G45:K45"/>
    <mergeCell ref="L45:T45"/>
    <mergeCell ref="U45:AD45"/>
    <mergeCell ref="AE45:AH45"/>
    <mergeCell ref="AI45:AM45"/>
    <mergeCell ref="AN45:AQ45"/>
    <mergeCell ref="AR45:AX45"/>
    <mergeCell ref="AU5:AX5"/>
    <mergeCell ref="B14:X14"/>
    <mergeCell ref="Y14:AX14"/>
    <mergeCell ref="B40:AX41"/>
    <mergeCell ref="Y5:AG5"/>
    <mergeCell ref="AH5:AL5"/>
    <mergeCell ref="AM5:AQ5"/>
    <mergeCell ref="AR5:AT5"/>
    <mergeCell ref="B5:J5"/>
    <mergeCell ref="K5:O5"/>
    <mergeCell ref="P5:T5"/>
    <mergeCell ref="U5:X5"/>
    <mergeCell ref="B3:X3"/>
    <mergeCell ref="Y3:AX3"/>
    <mergeCell ref="B4:J4"/>
    <mergeCell ref="K4:O4"/>
    <mergeCell ref="P4:X4"/>
    <mergeCell ref="Y4:AG4"/>
    <mergeCell ref="AH4:AL4"/>
    <mergeCell ref="AM4:AT4"/>
    <mergeCell ref="AU4:AX4"/>
  </mergeCells>
  <printOptions/>
  <pageMargins left="0.2701388888888889" right="0.25" top="0.4902777777777778" bottom="0.5097222222222222" header="0.5118055555555556" footer="0.5118055555555556"/>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Z55"/>
  <sheetViews>
    <sheetView showZeros="0" workbookViewId="0" topLeftCell="A1">
      <selection activeCell="BC1" sqref="BC1"/>
    </sheetView>
  </sheetViews>
  <sheetFormatPr defaultColWidth="9.140625" defaultRowHeight="12.75"/>
  <cols>
    <col min="1" max="1" width="1.1484375" style="0" customWidth="1"/>
    <col min="2" max="50" width="2.00390625" style="0" customWidth="1"/>
    <col min="51" max="51" width="0.9921875" style="0" customWidth="1"/>
    <col min="52" max="16384" width="2.00390625" style="0" customWidth="1"/>
  </cols>
  <sheetData>
    <row r="1" spans="1:51" ht="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row>
    <row r="2" spans="1:51" ht="7.5" customHeight="1">
      <c r="A2" s="4"/>
      <c r="B2" s="1"/>
      <c r="C2" s="2"/>
      <c r="D2" s="2"/>
      <c r="E2" s="2"/>
      <c r="F2" s="2"/>
      <c r="G2" s="2"/>
      <c r="H2" s="2"/>
      <c r="I2" s="2"/>
      <c r="J2" s="2"/>
      <c r="K2" s="2"/>
      <c r="L2" s="2"/>
      <c r="M2" s="2"/>
      <c r="N2" s="2"/>
      <c r="O2" s="2"/>
      <c r="P2" s="2"/>
      <c r="Q2" s="2"/>
      <c r="R2" s="2"/>
      <c r="S2" s="2"/>
      <c r="T2" s="2"/>
      <c r="U2" s="2"/>
      <c r="V2" s="2"/>
      <c r="W2" s="2"/>
      <c r="X2" s="3"/>
      <c r="Y2" s="1"/>
      <c r="Z2" s="2"/>
      <c r="AA2" s="2"/>
      <c r="AB2" s="2"/>
      <c r="AC2" s="2"/>
      <c r="AD2" s="2"/>
      <c r="AE2" s="2"/>
      <c r="AF2" s="2"/>
      <c r="AG2" s="2"/>
      <c r="AH2" s="2"/>
      <c r="AI2" s="2"/>
      <c r="AJ2" s="2"/>
      <c r="AK2" s="2"/>
      <c r="AL2" s="2"/>
      <c r="AM2" s="2"/>
      <c r="AN2" s="2"/>
      <c r="AO2" s="2"/>
      <c r="AP2" s="2"/>
      <c r="AQ2" s="2"/>
      <c r="AR2" s="2"/>
      <c r="AS2" s="2"/>
      <c r="AT2" s="2"/>
      <c r="AU2" s="2"/>
      <c r="AV2" s="2"/>
      <c r="AW2" s="2"/>
      <c r="AX2" s="3"/>
      <c r="AY2" s="5"/>
    </row>
    <row r="3" spans="1:51" ht="18">
      <c r="A3" s="4"/>
      <c r="B3" s="375" t="s">
        <v>0</v>
      </c>
      <c r="C3" s="375"/>
      <c r="D3" s="375"/>
      <c r="E3" s="375"/>
      <c r="F3" s="375"/>
      <c r="G3" s="375"/>
      <c r="H3" s="375"/>
      <c r="I3" s="375"/>
      <c r="J3" s="375"/>
      <c r="K3" s="375"/>
      <c r="L3" s="375"/>
      <c r="M3" s="375"/>
      <c r="N3" s="375"/>
      <c r="O3" s="375"/>
      <c r="P3" s="375"/>
      <c r="Q3" s="375"/>
      <c r="R3" s="375"/>
      <c r="S3" s="375"/>
      <c r="T3" s="375"/>
      <c r="U3" s="375"/>
      <c r="V3" s="375"/>
      <c r="W3" s="375"/>
      <c r="X3" s="375"/>
      <c r="Y3" s="375" t="s">
        <v>1</v>
      </c>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5"/>
    </row>
    <row r="4" spans="1:52" ht="24.75" customHeight="1">
      <c r="A4" s="4"/>
      <c r="B4" s="376" t="s">
        <v>2</v>
      </c>
      <c r="C4" s="376"/>
      <c r="D4" s="376"/>
      <c r="E4" s="376"/>
      <c r="F4" s="376"/>
      <c r="G4" s="376"/>
      <c r="H4" s="376"/>
      <c r="I4" s="376"/>
      <c r="J4" s="376"/>
      <c r="K4" s="377" t="s">
        <v>3</v>
      </c>
      <c r="L4" s="377"/>
      <c r="M4" s="377"/>
      <c r="N4" s="377"/>
      <c r="O4" s="377"/>
      <c r="P4" s="378" t="s">
        <v>4</v>
      </c>
      <c r="Q4" s="378"/>
      <c r="R4" s="378"/>
      <c r="S4" s="378"/>
      <c r="T4" s="378"/>
      <c r="U4" s="378"/>
      <c r="V4" s="378"/>
      <c r="W4" s="378"/>
      <c r="X4" s="378"/>
      <c r="Y4" s="376" t="s">
        <v>2</v>
      </c>
      <c r="Z4" s="376"/>
      <c r="AA4" s="376"/>
      <c r="AB4" s="376"/>
      <c r="AC4" s="376"/>
      <c r="AD4" s="376"/>
      <c r="AE4" s="376"/>
      <c r="AF4" s="376"/>
      <c r="AG4" s="376"/>
      <c r="AH4" s="377" t="s">
        <v>3</v>
      </c>
      <c r="AI4" s="377"/>
      <c r="AJ4" s="377"/>
      <c r="AK4" s="377"/>
      <c r="AL4" s="377"/>
      <c r="AM4" s="377" t="s">
        <v>4</v>
      </c>
      <c r="AN4" s="377"/>
      <c r="AO4" s="377"/>
      <c r="AP4" s="377"/>
      <c r="AQ4" s="377"/>
      <c r="AR4" s="377"/>
      <c r="AS4" s="377"/>
      <c r="AT4" s="377"/>
      <c r="AU4" s="378" t="s">
        <v>5</v>
      </c>
      <c r="AV4" s="378"/>
      <c r="AW4" s="378"/>
      <c r="AX4" s="378"/>
      <c r="AY4" s="6"/>
      <c r="AZ4" s="7"/>
    </row>
    <row r="5" spans="1:52" ht="30.75" customHeight="1">
      <c r="A5" s="4"/>
      <c r="B5" s="376"/>
      <c r="C5" s="376"/>
      <c r="D5" s="376"/>
      <c r="E5" s="376"/>
      <c r="F5" s="376"/>
      <c r="G5" s="376"/>
      <c r="H5" s="376"/>
      <c r="I5" s="376"/>
      <c r="J5" s="376"/>
      <c r="K5" s="377"/>
      <c r="L5" s="377"/>
      <c r="M5" s="377"/>
      <c r="N5" s="377"/>
      <c r="O5" s="377"/>
      <c r="P5" s="377"/>
      <c r="Q5" s="377"/>
      <c r="R5" s="377"/>
      <c r="S5" s="377"/>
      <c r="T5" s="377"/>
      <c r="U5" s="378"/>
      <c r="V5" s="378"/>
      <c r="W5" s="378"/>
      <c r="X5" s="378"/>
      <c r="Y5" s="376"/>
      <c r="Z5" s="376"/>
      <c r="AA5" s="376"/>
      <c r="AB5" s="376"/>
      <c r="AC5" s="376"/>
      <c r="AD5" s="376"/>
      <c r="AE5" s="376"/>
      <c r="AF5" s="376"/>
      <c r="AG5" s="376"/>
      <c r="AH5" s="377"/>
      <c r="AI5" s="377"/>
      <c r="AJ5" s="377"/>
      <c r="AK5" s="377"/>
      <c r="AL5" s="377"/>
      <c r="AM5" s="377"/>
      <c r="AN5" s="377"/>
      <c r="AO5" s="377"/>
      <c r="AP5" s="377"/>
      <c r="AQ5" s="377"/>
      <c r="AR5" s="379"/>
      <c r="AS5" s="379"/>
      <c r="AT5" s="379"/>
      <c r="AU5" s="378"/>
      <c r="AV5" s="378"/>
      <c r="AW5" s="378"/>
      <c r="AX5" s="378"/>
      <c r="AY5" s="6"/>
      <c r="AZ5" s="7"/>
    </row>
    <row r="6" spans="1:51" ht="12.75">
      <c r="A6" s="4"/>
      <c r="B6" s="8"/>
      <c r="C6" s="9"/>
      <c r="D6" s="9"/>
      <c r="E6" s="9"/>
      <c r="F6" s="9"/>
      <c r="G6" s="9"/>
      <c r="H6" s="9"/>
      <c r="I6" s="9"/>
      <c r="J6" s="9"/>
      <c r="K6" s="9"/>
      <c r="L6" s="9"/>
      <c r="M6" s="9"/>
      <c r="N6" s="9"/>
      <c r="O6" s="9"/>
      <c r="P6" s="9"/>
      <c r="Q6" s="9"/>
      <c r="R6" s="9"/>
      <c r="S6" s="9"/>
      <c r="T6" s="9"/>
      <c r="U6" s="9"/>
      <c r="V6" s="9"/>
      <c r="W6" s="9"/>
      <c r="X6" s="10"/>
      <c r="Y6" s="8"/>
      <c r="Z6" s="9"/>
      <c r="AA6" s="9"/>
      <c r="AB6" s="9"/>
      <c r="AC6" s="9"/>
      <c r="AD6" s="9"/>
      <c r="AE6" s="9"/>
      <c r="AF6" s="9"/>
      <c r="AG6" s="9"/>
      <c r="AH6" s="9"/>
      <c r="AI6" s="9"/>
      <c r="AJ6" s="9"/>
      <c r="AK6" s="9"/>
      <c r="AL6" s="9"/>
      <c r="AM6" s="9"/>
      <c r="AN6" s="9"/>
      <c r="AO6" s="9"/>
      <c r="AP6" s="9"/>
      <c r="AQ6" s="9"/>
      <c r="AR6" s="9"/>
      <c r="AS6" s="9"/>
      <c r="AT6" s="9"/>
      <c r="AU6" s="9"/>
      <c r="AV6" s="9"/>
      <c r="AW6" s="9"/>
      <c r="AX6" s="10"/>
      <c r="AY6" s="5"/>
    </row>
    <row r="7" spans="1:51" ht="12.75">
      <c r="A7" s="4"/>
      <c r="B7" s="4"/>
      <c r="C7" s="11"/>
      <c r="D7" s="11"/>
      <c r="E7" s="11"/>
      <c r="F7" s="11"/>
      <c r="G7" s="11"/>
      <c r="H7" s="11"/>
      <c r="I7" s="11"/>
      <c r="J7" s="11"/>
      <c r="K7" s="11"/>
      <c r="L7" s="11"/>
      <c r="M7" s="11"/>
      <c r="N7" s="11"/>
      <c r="O7" s="11"/>
      <c r="P7" s="11"/>
      <c r="Q7" s="11"/>
      <c r="R7" s="11"/>
      <c r="S7" s="11"/>
      <c r="T7" s="11"/>
      <c r="U7" s="11"/>
      <c r="V7" s="11"/>
      <c r="W7" s="11"/>
      <c r="X7" s="5"/>
      <c r="Y7" s="4"/>
      <c r="Z7" s="11"/>
      <c r="AA7" s="11"/>
      <c r="AB7" s="11"/>
      <c r="AC7" s="11"/>
      <c r="AD7" s="11"/>
      <c r="AE7" s="11"/>
      <c r="AF7" s="11"/>
      <c r="AG7" s="11"/>
      <c r="AH7" s="11"/>
      <c r="AI7" s="11"/>
      <c r="AJ7" s="11"/>
      <c r="AK7" s="11"/>
      <c r="AL7" s="11"/>
      <c r="AM7" s="11"/>
      <c r="AN7" s="11"/>
      <c r="AO7" s="11"/>
      <c r="AP7" s="11"/>
      <c r="AQ7" s="11"/>
      <c r="AR7" s="11"/>
      <c r="AS7" s="11"/>
      <c r="AT7" s="11"/>
      <c r="AU7" s="11"/>
      <c r="AV7" s="11"/>
      <c r="AW7" s="11"/>
      <c r="AX7" s="5"/>
      <c r="AY7" s="5"/>
    </row>
    <row r="8" spans="1:51" ht="12.75">
      <c r="A8" s="4"/>
      <c r="B8" s="4"/>
      <c r="C8" s="11"/>
      <c r="D8" s="11"/>
      <c r="E8" s="11"/>
      <c r="F8" s="11"/>
      <c r="G8" s="11"/>
      <c r="H8" s="11"/>
      <c r="I8" s="11"/>
      <c r="J8" s="11"/>
      <c r="K8" s="11"/>
      <c r="L8" s="11"/>
      <c r="M8" s="11"/>
      <c r="N8" s="11"/>
      <c r="O8" s="11"/>
      <c r="P8" s="11"/>
      <c r="Q8" s="11"/>
      <c r="R8" s="11"/>
      <c r="S8" s="11"/>
      <c r="T8" s="11"/>
      <c r="U8" s="11"/>
      <c r="V8" s="11"/>
      <c r="W8" s="11"/>
      <c r="X8" s="5"/>
      <c r="Y8" s="4"/>
      <c r="Z8" s="11"/>
      <c r="AA8" s="11"/>
      <c r="AB8" s="11"/>
      <c r="AC8" s="11"/>
      <c r="AD8" s="11"/>
      <c r="AE8" s="11"/>
      <c r="AF8" s="11"/>
      <c r="AG8" s="11"/>
      <c r="AH8" s="11"/>
      <c r="AI8" s="11"/>
      <c r="AJ8" s="11"/>
      <c r="AK8" s="11"/>
      <c r="AL8" s="11"/>
      <c r="AM8" s="11"/>
      <c r="AN8" s="11"/>
      <c r="AO8" s="11"/>
      <c r="AP8" s="11"/>
      <c r="AQ8" s="11"/>
      <c r="AR8" s="11"/>
      <c r="AS8" s="11"/>
      <c r="AT8" s="11"/>
      <c r="AU8" s="11"/>
      <c r="AV8" s="11"/>
      <c r="AW8" s="11"/>
      <c r="AX8" s="5"/>
      <c r="AY8" s="5"/>
    </row>
    <row r="9" spans="1:51" ht="12.75">
      <c r="A9" s="4"/>
      <c r="B9" s="4"/>
      <c r="C9" s="11"/>
      <c r="D9" s="11"/>
      <c r="E9" s="11"/>
      <c r="F9" s="11"/>
      <c r="G9" s="11"/>
      <c r="H9" s="11"/>
      <c r="I9" s="11"/>
      <c r="J9" s="11"/>
      <c r="K9" s="11"/>
      <c r="L9" s="11"/>
      <c r="M9" s="11"/>
      <c r="N9" s="11"/>
      <c r="O9" s="11"/>
      <c r="P9" s="11"/>
      <c r="Q9" s="11"/>
      <c r="R9" s="11"/>
      <c r="S9" s="11"/>
      <c r="T9" s="11"/>
      <c r="U9" s="11"/>
      <c r="V9" s="11"/>
      <c r="W9" s="11"/>
      <c r="X9" s="5"/>
      <c r="Y9" s="4"/>
      <c r="Z9" s="11"/>
      <c r="AA9" s="11"/>
      <c r="AB9" s="11"/>
      <c r="AC9" s="11"/>
      <c r="AD9" s="11"/>
      <c r="AE9" s="11"/>
      <c r="AF9" s="11"/>
      <c r="AG9" s="11"/>
      <c r="AH9" s="11"/>
      <c r="AI9" s="11"/>
      <c r="AJ9" s="11"/>
      <c r="AK9" s="11"/>
      <c r="AL9" s="11"/>
      <c r="AM9" s="11"/>
      <c r="AN9" s="11"/>
      <c r="AO9" s="11"/>
      <c r="AP9" s="11"/>
      <c r="AQ9" s="11"/>
      <c r="AR9" s="11"/>
      <c r="AS9" s="11"/>
      <c r="AT9" s="11"/>
      <c r="AU9" s="11"/>
      <c r="AV9" s="11"/>
      <c r="AW9" s="11"/>
      <c r="AX9" s="5"/>
      <c r="AY9" s="5"/>
    </row>
    <row r="10" spans="1:51" ht="12.75">
      <c r="A10" s="4"/>
      <c r="B10" s="4"/>
      <c r="C10" s="11"/>
      <c r="D10" s="11"/>
      <c r="E10" s="11"/>
      <c r="F10" s="11"/>
      <c r="G10" s="11"/>
      <c r="H10" s="11"/>
      <c r="I10" s="11"/>
      <c r="J10" s="11"/>
      <c r="K10" s="11"/>
      <c r="L10" s="11"/>
      <c r="M10" s="11"/>
      <c r="N10" s="11"/>
      <c r="O10" s="11"/>
      <c r="P10" s="11"/>
      <c r="Q10" s="11"/>
      <c r="R10" s="11"/>
      <c r="S10" s="11"/>
      <c r="T10" s="11"/>
      <c r="U10" s="11"/>
      <c r="V10" s="11"/>
      <c r="W10" s="11"/>
      <c r="X10" s="5"/>
      <c r="Y10" s="4"/>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5"/>
      <c r="AY10" s="5"/>
    </row>
    <row r="11" spans="1:51" ht="12.75">
      <c r="A11" s="4"/>
      <c r="B11" s="4"/>
      <c r="C11" s="11"/>
      <c r="D11" s="11"/>
      <c r="E11" s="11"/>
      <c r="F11" s="11"/>
      <c r="G11" s="11"/>
      <c r="H11" s="11"/>
      <c r="I11" s="11"/>
      <c r="J11" s="11"/>
      <c r="K11" s="11"/>
      <c r="L11" s="11"/>
      <c r="M11" s="11"/>
      <c r="N11" s="11"/>
      <c r="O11" s="11"/>
      <c r="P11" s="11"/>
      <c r="Q11" s="11"/>
      <c r="R11" s="11"/>
      <c r="S11" s="11"/>
      <c r="T11" s="11"/>
      <c r="U11" s="11"/>
      <c r="V11" s="11"/>
      <c r="W11" s="11"/>
      <c r="X11" s="5"/>
      <c r="Y11" s="4"/>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5"/>
      <c r="AY11" s="5"/>
    </row>
    <row r="12" spans="1:51" ht="12.75">
      <c r="A12" s="4"/>
      <c r="B12" s="12"/>
      <c r="C12" s="13"/>
      <c r="D12" s="13"/>
      <c r="E12" s="13"/>
      <c r="F12" s="13"/>
      <c r="G12" s="13"/>
      <c r="H12" s="13"/>
      <c r="I12" s="13"/>
      <c r="J12" s="13"/>
      <c r="K12" s="13"/>
      <c r="L12" s="13"/>
      <c r="M12" s="13"/>
      <c r="N12" s="13"/>
      <c r="O12" s="13"/>
      <c r="P12" s="13"/>
      <c r="Q12" s="13"/>
      <c r="R12" s="13"/>
      <c r="S12" s="13"/>
      <c r="T12" s="13"/>
      <c r="U12" s="13"/>
      <c r="V12" s="13"/>
      <c r="W12" s="13"/>
      <c r="X12" s="14"/>
      <c r="Y12" s="12"/>
      <c r="Z12" s="13"/>
      <c r="AA12" s="13"/>
      <c r="AB12" s="13"/>
      <c r="AC12" s="13"/>
      <c r="AD12" s="13"/>
      <c r="AE12" s="13"/>
      <c r="AF12" s="13"/>
      <c r="AG12" s="13"/>
      <c r="AH12" s="13"/>
      <c r="AI12" s="13"/>
      <c r="AJ12" s="13"/>
      <c r="AK12" s="13"/>
      <c r="AL12" s="13"/>
      <c r="AM12" s="15"/>
      <c r="AN12" s="13"/>
      <c r="AO12" s="13"/>
      <c r="AP12" s="13"/>
      <c r="AQ12" s="13"/>
      <c r="AR12" s="13"/>
      <c r="AS12" s="13"/>
      <c r="AT12" s="13"/>
      <c r="AU12" s="13"/>
      <c r="AV12" s="13"/>
      <c r="AW12" s="13"/>
      <c r="AX12" s="14"/>
      <c r="AY12" s="5"/>
    </row>
    <row r="13" spans="1:51" ht="6" customHeight="1">
      <c r="A13" s="4"/>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6"/>
      <c r="AN13" s="11"/>
      <c r="AO13" s="11"/>
      <c r="AP13" s="11"/>
      <c r="AQ13" s="11"/>
      <c r="AR13" s="11"/>
      <c r="AS13" s="11"/>
      <c r="AT13" s="11"/>
      <c r="AU13" s="11"/>
      <c r="AV13" s="11"/>
      <c r="AW13" s="11"/>
      <c r="AX13" s="11"/>
      <c r="AY13" s="5"/>
    </row>
    <row r="14" spans="1:51" ht="34.5" customHeight="1">
      <c r="A14" s="4"/>
      <c r="B14" s="380" t="s">
        <v>6</v>
      </c>
      <c r="C14" s="380"/>
      <c r="D14" s="380"/>
      <c r="E14" s="380"/>
      <c r="F14" s="380"/>
      <c r="G14" s="380"/>
      <c r="H14" s="380"/>
      <c r="I14" s="380"/>
      <c r="J14" s="380"/>
      <c r="K14" s="380"/>
      <c r="L14" s="380"/>
      <c r="M14" s="380"/>
      <c r="N14" s="380"/>
      <c r="O14" s="380"/>
      <c r="P14" s="380"/>
      <c r="Q14" s="380"/>
      <c r="R14" s="380"/>
      <c r="S14" s="380"/>
      <c r="T14" s="380"/>
      <c r="U14" s="380"/>
      <c r="V14" s="380"/>
      <c r="W14" s="380"/>
      <c r="X14" s="380"/>
      <c r="Y14" s="381" t="s">
        <v>7</v>
      </c>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5"/>
    </row>
    <row r="15" spans="1:51" ht="12.75">
      <c r="A15" s="4"/>
      <c r="B15" s="4"/>
      <c r="C15" s="11"/>
      <c r="D15" s="11"/>
      <c r="E15" s="11"/>
      <c r="F15" s="11"/>
      <c r="G15" s="11"/>
      <c r="H15" s="11"/>
      <c r="I15" s="11"/>
      <c r="J15" s="11"/>
      <c r="K15" s="11"/>
      <c r="L15" s="11"/>
      <c r="M15" s="11"/>
      <c r="N15" s="11"/>
      <c r="O15" s="11"/>
      <c r="P15" s="11"/>
      <c r="Q15" s="11"/>
      <c r="R15" s="11"/>
      <c r="S15" s="11"/>
      <c r="T15" s="11"/>
      <c r="U15" s="11"/>
      <c r="V15" s="11"/>
      <c r="W15" s="11"/>
      <c r="X15" s="5"/>
      <c r="Y15" s="4"/>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5"/>
      <c r="AY15" s="5"/>
    </row>
    <row r="16" spans="1:51" ht="12.75">
      <c r="A16" s="4"/>
      <c r="B16" s="4"/>
      <c r="C16" s="11"/>
      <c r="D16" s="11"/>
      <c r="E16" s="11"/>
      <c r="F16" s="11"/>
      <c r="G16" s="11"/>
      <c r="H16" s="11"/>
      <c r="I16" s="11"/>
      <c r="J16" s="11"/>
      <c r="K16" s="11"/>
      <c r="L16" s="11"/>
      <c r="M16" s="11"/>
      <c r="N16" s="11"/>
      <c r="O16" s="11"/>
      <c r="P16" s="11"/>
      <c r="Q16" s="11"/>
      <c r="R16" s="11"/>
      <c r="S16" s="11"/>
      <c r="T16" s="11"/>
      <c r="U16" s="11"/>
      <c r="V16" s="11"/>
      <c r="W16" s="11"/>
      <c r="X16" s="5"/>
      <c r="Y16" s="4"/>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5"/>
      <c r="AY16" s="5"/>
    </row>
    <row r="17" spans="1:51" ht="12.75">
      <c r="A17" s="4"/>
      <c r="B17" s="4"/>
      <c r="C17" s="11"/>
      <c r="D17" s="11"/>
      <c r="E17" s="11"/>
      <c r="F17" s="11"/>
      <c r="G17" s="11"/>
      <c r="H17" s="11"/>
      <c r="I17" s="11"/>
      <c r="J17" s="11"/>
      <c r="K17" s="11"/>
      <c r="L17" s="11"/>
      <c r="M17" s="11"/>
      <c r="N17" s="11"/>
      <c r="O17" s="11"/>
      <c r="P17" s="11"/>
      <c r="Q17" s="11"/>
      <c r="R17" s="11"/>
      <c r="S17" s="11"/>
      <c r="T17" s="11"/>
      <c r="U17" s="11"/>
      <c r="V17" s="11"/>
      <c r="W17" s="11"/>
      <c r="X17" s="5"/>
      <c r="Y17" s="4"/>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5"/>
      <c r="AY17" s="5"/>
    </row>
    <row r="18" spans="1:51" ht="12.75">
      <c r="A18" s="4"/>
      <c r="B18" s="4"/>
      <c r="C18" s="11"/>
      <c r="D18" s="11"/>
      <c r="E18" s="11"/>
      <c r="F18" s="11"/>
      <c r="G18" s="11"/>
      <c r="H18" s="11"/>
      <c r="I18" s="11"/>
      <c r="J18" s="11"/>
      <c r="K18" s="11"/>
      <c r="L18" s="11"/>
      <c r="M18" s="11"/>
      <c r="N18" s="11"/>
      <c r="O18" s="11"/>
      <c r="P18" s="11"/>
      <c r="Q18" s="11"/>
      <c r="R18" s="11"/>
      <c r="S18" s="11"/>
      <c r="T18" s="11"/>
      <c r="U18" s="11"/>
      <c r="V18" s="11"/>
      <c r="W18" s="11"/>
      <c r="X18" s="5"/>
      <c r="Y18" s="4"/>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5"/>
      <c r="AY18" s="5"/>
    </row>
    <row r="19" spans="1:51" ht="12.75">
      <c r="A19" s="4"/>
      <c r="B19" s="4"/>
      <c r="C19" s="11"/>
      <c r="D19" s="11"/>
      <c r="E19" s="11"/>
      <c r="F19" s="11"/>
      <c r="G19" s="11"/>
      <c r="H19" s="11"/>
      <c r="I19" s="11"/>
      <c r="J19" s="11"/>
      <c r="K19" s="11"/>
      <c r="L19" s="11"/>
      <c r="M19" s="11"/>
      <c r="N19" s="11"/>
      <c r="O19" s="11"/>
      <c r="P19" s="11"/>
      <c r="Q19" s="11"/>
      <c r="R19" s="11"/>
      <c r="S19" s="11"/>
      <c r="T19" s="11"/>
      <c r="U19" s="11"/>
      <c r="V19" s="11"/>
      <c r="W19" s="11"/>
      <c r="X19" s="5"/>
      <c r="Y19" s="4"/>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5"/>
      <c r="AY19" s="5"/>
    </row>
    <row r="20" spans="1:51" ht="12.75">
      <c r="A20" s="4"/>
      <c r="B20" s="4"/>
      <c r="C20" s="11"/>
      <c r="D20" s="11"/>
      <c r="E20" s="11"/>
      <c r="F20" s="11"/>
      <c r="G20" s="11"/>
      <c r="H20" s="11"/>
      <c r="I20" s="11"/>
      <c r="J20" s="11"/>
      <c r="K20" s="11"/>
      <c r="L20" s="11"/>
      <c r="M20" s="11"/>
      <c r="N20" s="11"/>
      <c r="O20" s="11"/>
      <c r="P20" s="11"/>
      <c r="Q20" s="11"/>
      <c r="R20" s="11"/>
      <c r="S20" s="11"/>
      <c r="T20" s="11"/>
      <c r="U20" s="11"/>
      <c r="V20" s="11"/>
      <c r="W20" s="11"/>
      <c r="X20" s="5"/>
      <c r="Y20" s="4"/>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5"/>
      <c r="AY20" s="5"/>
    </row>
    <row r="21" spans="1:51" ht="12.75">
      <c r="A21" s="4"/>
      <c r="B21" s="4"/>
      <c r="C21" s="11"/>
      <c r="D21" s="11"/>
      <c r="E21" s="11"/>
      <c r="F21" s="11"/>
      <c r="G21" s="11"/>
      <c r="H21" s="11"/>
      <c r="I21" s="11"/>
      <c r="J21" s="11"/>
      <c r="K21" s="11"/>
      <c r="L21" s="11"/>
      <c r="M21" s="11"/>
      <c r="N21" s="11"/>
      <c r="O21" s="11"/>
      <c r="P21" s="11"/>
      <c r="Q21" s="11"/>
      <c r="R21" s="11"/>
      <c r="S21" s="11"/>
      <c r="T21" s="11"/>
      <c r="U21" s="11"/>
      <c r="V21" s="11"/>
      <c r="W21" s="11"/>
      <c r="X21" s="5"/>
      <c r="Y21" s="4"/>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5"/>
      <c r="AY21" s="5"/>
    </row>
    <row r="22" spans="1:51" ht="12.75">
      <c r="A22" s="4"/>
      <c r="B22" s="4"/>
      <c r="C22" s="11"/>
      <c r="D22" s="11"/>
      <c r="E22" s="11"/>
      <c r="F22" s="11"/>
      <c r="G22" s="11"/>
      <c r="H22" s="11"/>
      <c r="I22" s="11"/>
      <c r="J22" s="11"/>
      <c r="K22" s="11"/>
      <c r="L22" s="11"/>
      <c r="M22" s="11"/>
      <c r="N22" s="11"/>
      <c r="O22" s="11"/>
      <c r="P22" s="11"/>
      <c r="Q22" s="11"/>
      <c r="R22" s="11"/>
      <c r="S22" s="11"/>
      <c r="T22" s="11"/>
      <c r="U22" s="11"/>
      <c r="V22" s="11"/>
      <c r="W22" s="11"/>
      <c r="X22" s="5"/>
      <c r="Y22" s="4"/>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5"/>
      <c r="AY22" s="5"/>
    </row>
    <row r="23" spans="1:51" ht="12.75">
      <c r="A23" s="4"/>
      <c r="B23" s="4"/>
      <c r="C23" s="11"/>
      <c r="D23" s="11"/>
      <c r="E23" s="11"/>
      <c r="F23" s="11"/>
      <c r="G23" s="11"/>
      <c r="H23" s="11"/>
      <c r="I23" s="11"/>
      <c r="J23" s="11"/>
      <c r="K23" s="11"/>
      <c r="L23" s="11"/>
      <c r="M23" s="11"/>
      <c r="N23" s="11"/>
      <c r="O23" s="11"/>
      <c r="P23" s="11"/>
      <c r="Q23" s="11"/>
      <c r="R23" s="11"/>
      <c r="S23" s="11"/>
      <c r="T23" s="11"/>
      <c r="U23" s="11"/>
      <c r="V23" s="11"/>
      <c r="W23" s="11"/>
      <c r="X23" s="5"/>
      <c r="Y23" s="4"/>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5"/>
      <c r="AY23" s="5"/>
    </row>
    <row r="24" spans="1:51" ht="12.75">
      <c r="A24" s="4"/>
      <c r="B24" s="4"/>
      <c r="C24" s="11"/>
      <c r="D24" s="11"/>
      <c r="E24" s="11"/>
      <c r="F24" s="11"/>
      <c r="G24" s="11"/>
      <c r="H24" s="11"/>
      <c r="I24" s="11"/>
      <c r="J24" s="11"/>
      <c r="K24" s="11"/>
      <c r="L24" s="11"/>
      <c r="M24" s="11"/>
      <c r="N24" s="11"/>
      <c r="O24" s="11"/>
      <c r="P24" s="11"/>
      <c r="Q24" s="11"/>
      <c r="R24" s="11"/>
      <c r="S24" s="11"/>
      <c r="T24" s="11"/>
      <c r="U24" s="11"/>
      <c r="V24" s="11"/>
      <c r="W24" s="11"/>
      <c r="X24" s="5"/>
      <c r="Y24" s="4"/>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5"/>
      <c r="AY24" s="5"/>
    </row>
    <row r="25" spans="1:51" ht="12.75">
      <c r="A25" s="4"/>
      <c r="B25" s="4"/>
      <c r="C25" s="11"/>
      <c r="D25" s="11"/>
      <c r="E25" s="11"/>
      <c r="F25" s="11"/>
      <c r="G25" s="11"/>
      <c r="H25" s="11"/>
      <c r="I25" s="11"/>
      <c r="J25" s="11"/>
      <c r="K25" s="11"/>
      <c r="L25" s="11"/>
      <c r="M25" s="11"/>
      <c r="N25" s="11"/>
      <c r="O25" s="11"/>
      <c r="P25" s="11"/>
      <c r="Q25" s="11"/>
      <c r="R25" s="11"/>
      <c r="S25" s="11"/>
      <c r="T25" s="11"/>
      <c r="U25" s="11"/>
      <c r="V25" s="11"/>
      <c r="W25" s="11"/>
      <c r="X25" s="5"/>
      <c r="Y25" s="4"/>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5"/>
      <c r="AY25" s="5"/>
    </row>
    <row r="26" spans="1:51" ht="12.75" customHeight="1">
      <c r="A26" s="4"/>
      <c r="B26" s="12"/>
      <c r="C26" s="13"/>
      <c r="D26" s="13"/>
      <c r="E26" s="13"/>
      <c r="F26" s="13"/>
      <c r="G26" s="13"/>
      <c r="H26" s="13"/>
      <c r="I26" s="13"/>
      <c r="J26" s="13"/>
      <c r="K26" s="13"/>
      <c r="L26" s="13"/>
      <c r="M26" s="13"/>
      <c r="N26" s="13"/>
      <c r="O26" s="13"/>
      <c r="P26" s="13"/>
      <c r="Q26" s="13"/>
      <c r="R26" s="13"/>
      <c r="S26" s="13"/>
      <c r="T26" s="13"/>
      <c r="U26" s="13"/>
      <c r="V26" s="13"/>
      <c r="W26" s="13"/>
      <c r="X26" s="14"/>
      <c r="Y26" s="12"/>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4"/>
      <c r="AY26" s="5"/>
    </row>
    <row r="27" spans="1:51" ht="6" customHeight="1">
      <c r="A27" s="4"/>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5"/>
    </row>
    <row r="28" spans="1:51" ht="12.75" customHeight="1">
      <c r="A28" s="4"/>
      <c r="B28" s="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3"/>
      <c r="AY28" s="5"/>
    </row>
    <row r="29" spans="1:51" ht="12.75" customHeight="1">
      <c r="A29" s="4"/>
      <c r="B29" s="4"/>
      <c r="C29" s="11"/>
      <c r="D29" s="11"/>
      <c r="E29" s="11"/>
      <c r="F29" s="11"/>
      <c r="G29" s="11"/>
      <c r="H29" s="11"/>
      <c r="I29" s="11"/>
      <c r="J29" s="11"/>
      <c r="K29" s="11"/>
      <c r="L29" s="11"/>
      <c r="M29" s="11"/>
      <c r="N29" s="11"/>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1"/>
      <c r="AR29" s="11"/>
      <c r="AS29" s="11"/>
      <c r="AT29" s="11"/>
      <c r="AU29" s="11"/>
      <c r="AV29" s="11"/>
      <c r="AW29" s="11"/>
      <c r="AX29" s="5"/>
      <c r="AY29" s="5"/>
    </row>
    <row r="30" spans="1:51" ht="12.75" customHeight="1">
      <c r="A30" s="4"/>
      <c r="B30" s="4"/>
      <c r="C30" s="11"/>
      <c r="D30" s="11"/>
      <c r="E30" s="11"/>
      <c r="F30" s="11"/>
      <c r="G30" s="11"/>
      <c r="H30" s="11"/>
      <c r="I30" s="11"/>
      <c r="J30" s="11"/>
      <c r="K30" s="11"/>
      <c r="L30" s="11"/>
      <c r="M30" s="11"/>
      <c r="N30" s="11"/>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1"/>
      <c r="AR30" s="11"/>
      <c r="AS30" s="11"/>
      <c r="AT30" s="11"/>
      <c r="AU30" s="11"/>
      <c r="AV30" s="11"/>
      <c r="AW30" s="11"/>
      <c r="AX30" s="5"/>
      <c r="AY30" s="5"/>
    </row>
    <row r="31" spans="1:51" ht="12.75" customHeight="1">
      <c r="A31" s="4"/>
      <c r="B31" s="4"/>
      <c r="C31" s="11"/>
      <c r="D31" s="11"/>
      <c r="E31" s="11"/>
      <c r="F31" s="11"/>
      <c r="G31" s="11"/>
      <c r="H31" s="11"/>
      <c r="I31" s="11"/>
      <c r="J31" s="11"/>
      <c r="K31" s="11"/>
      <c r="L31" s="11"/>
      <c r="M31" s="11"/>
      <c r="N31" s="11"/>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1"/>
      <c r="AR31" s="11"/>
      <c r="AS31" s="11"/>
      <c r="AT31" s="11"/>
      <c r="AU31" s="11"/>
      <c r="AV31" s="11"/>
      <c r="AW31" s="11"/>
      <c r="AX31" s="5"/>
      <c r="AY31" s="5"/>
    </row>
    <row r="32" spans="1:51" ht="10.5" customHeight="1">
      <c r="A32" s="4"/>
      <c r="B32" s="4"/>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5"/>
      <c r="AY32" s="5"/>
    </row>
    <row r="33" spans="1:51" ht="24">
      <c r="A33" s="4"/>
      <c r="B33" s="4"/>
      <c r="C33" s="11"/>
      <c r="D33" s="11"/>
      <c r="E33" s="11"/>
      <c r="F33" s="11"/>
      <c r="G33" s="11"/>
      <c r="H33" s="11"/>
      <c r="I33" s="11"/>
      <c r="J33" s="11"/>
      <c r="K33" s="11"/>
      <c r="L33" s="11"/>
      <c r="M33" s="11"/>
      <c r="N33" s="11"/>
      <c r="O33" s="18"/>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1"/>
      <c r="AR33" s="11"/>
      <c r="AS33" s="11"/>
      <c r="AT33" s="11"/>
      <c r="AU33" s="11"/>
      <c r="AV33" s="11"/>
      <c r="AW33" s="11"/>
      <c r="AX33" s="5"/>
      <c r="AY33" s="5"/>
    </row>
    <row r="34" spans="1:51" ht="24">
      <c r="A34" s="4"/>
      <c r="B34" s="4"/>
      <c r="C34" s="11"/>
      <c r="D34" s="11"/>
      <c r="E34" s="11"/>
      <c r="F34" s="11"/>
      <c r="G34" s="11"/>
      <c r="H34" s="11"/>
      <c r="I34" s="11"/>
      <c r="J34" s="11"/>
      <c r="K34" s="11"/>
      <c r="M34" s="11"/>
      <c r="N34" s="11"/>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1"/>
      <c r="AR34" s="11"/>
      <c r="AS34" s="11"/>
      <c r="AT34" s="11"/>
      <c r="AU34" s="11"/>
      <c r="AV34" s="11"/>
      <c r="AW34" s="11"/>
      <c r="AX34" s="5"/>
      <c r="AY34" s="5"/>
    </row>
    <row r="35" spans="1:51" ht="14.25">
      <c r="A35" s="4"/>
      <c r="B35" s="4"/>
      <c r="C35" s="11"/>
      <c r="D35" s="11"/>
      <c r="E35" s="11"/>
      <c r="F35" s="11"/>
      <c r="G35" s="11"/>
      <c r="H35" s="20"/>
      <c r="I35" s="11"/>
      <c r="J35" s="11"/>
      <c r="K35" s="11"/>
      <c r="L35" s="11"/>
      <c r="M35" s="11"/>
      <c r="N35" s="11"/>
      <c r="O35" s="11"/>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11"/>
      <c r="AQ35" s="11"/>
      <c r="AR35" s="11"/>
      <c r="AS35" s="11"/>
      <c r="AT35" s="11"/>
      <c r="AU35" s="11"/>
      <c r="AV35" s="11"/>
      <c r="AW35" s="11"/>
      <c r="AX35" s="5"/>
      <c r="AY35" s="5"/>
    </row>
    <row r="36" spans="1:51" ht="14.25">
      <c r="A36" s="4"/>
      <c r="B36" s="4"/>
      <c r="C36" s="11"/>
      <c r="D36" s="11"/>
      <c r="E36" s="11"/>
      <c r="F36" s="11"/>
      <c r="G36" s="11"/>
      <c r="H36" s="11"/>
      <c r="I36" s="11"/>
      <c r="J36" s="11"/>
      <c r="K36" s="11"/>
      <c r="L36" s="11"/>
      <c r="M36" s="11"/>
      <c r="N36" s="11"/>
      <c r="O36" s="1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11"/>
      <c r="AQ36" s="11"/>
      <c r="AR36" s="11"/>
      <c r="AS36" s="11"/>
      <c r="AT36" s="11"/>
      <c r="AU36" s="11"/>
      <c r="AV36" s="11"/>
      <c r="AW36" s="11"/>
      <c r="AX36" s="5"/>
      <c r="AY36" s="5"/>
    </row>
    <row r="37" spans="1:51" ht="14.25">
      <c r="A37" s="4"/>
      <c r="B37" s="4"/>
      <c r="C37" s="11"/>
      <c r="D37" s="11"/>
      <c r="E37" s="11"/>
      <c r="F37" s="11"/>
      <c r="G37" s="11"/>
      <c r="H37" s="11"/>
      <c r="I37" s="11"/>
      <c r="J37" s="11"/>
      <c r="K37" s="11"/>
      <c r="L37" s="11"/>
      <c r="M37" s="11"/>
      <c r="N37" s="11"/>
      <c r="O37" s="11"/>
      <c r="P37" s="21"/>
      <c r="Q37" s="21"/>
      <c r="R37" s="21"/>
      <c r="S37" s="21"/>
      <c r="T37" s="21"/>
      <c r="U37" s="21"/>
      <c r="V37" s="21"/>
      <c r="W37" s="21"/>
      <c r="X37" s="21"/>
      <c r="Y37" s="21"/>
      <c r="Z37" s="21"/>
      <c r="AA37" s="21"/>
      <c r="AB37" s="21"/>
      <c r="AC37" s="21"/>
      <c r="AD37" s="21"/>
      <c r="AE37" s="21"/>
      <c r="AF37" s="11"/>
      <c r="AG37" s="11"/>
      <c r="AH37" s="11"/>
      <c r="AI37" s="11"/>
      <c r="AJ37" s="11"/>
      <c r="AK37" s="11"/>
      <c r="AL37" s="11"/>
      <c r="AM37" s="11"/>
      <c r="AN37" s="11"/>
      <c r="AO37" s="11"/>
      <c r="AP37" s="11"/>
      <c r="AQ37" s="11"/>
      <c r="AR37" s="11"/>
      <c r="AS37" s="11"/>
      <c r="AT37" s="11"/>
      <c r="AU37" s="11"/>
      <c r="AV37" s="11"/>
      <c r="AW37" s="11"/>
      <c r="AX37" s="5"/>
      <c r="AY37" s="5"/>
    </row>
    <row r="38" spans="1:51" ht="12.75">
      <c r="A38" s="4"/>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c r="AY38" s="5"/>
    </row>
    <row r="39" spans="1:51" ht="6" customHeight="1">
      <c r="A39" s="4"/>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5"/>
    </row>
    <row r="40" spans="1:51" ht="15" customHeight="1">
      <c r="A40" s="4"/>
      <c r="B40" s="382" t="s">
        <v>31</v>
      </c>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5"/>
    </row>
    <row r="41" spans="1:51" ht="12.75">
      <c r="A41" s="4"/>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5"/>
    </row>
    <row r="42" spans="1:51" ht="6.75" customHeight="1">
      <c r="A42" s="4"/>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4"/>
      <c r="AY42" s="5"/>
    </row>
    <row r="43" spans="1:51" ht="6" customHeight="1">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5"/>
    </row>
    <row r="44" spans="1:51" ht="18.75" customHeight="1">
      <c r="A44" s="4"/>
      <c r="B44" s="383" t="s">
        <v>9</v>
      </c>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5"/>
    </row>
    <row r="45" spans="1:51" ht="19.5" customHeight="1">
      <c r="A45" s="4"/>
      <c r="B45" s="376" t="s">
        <v>10</v>
      </c>
      <c r="C45" s="376"/>
      <c r="D45" s="376"/>
      <c r="E45" s="376"/>
      <c r="F45" s="376"/>
      <c r="G45" s="377" t="s">
        <v>11</v>
      </c>
      <c r="H45" s="377"/>
      <c r="I45" s="377"/>
      <c r="J45" s="377"/>
      <c r="K45" s="377"/>
      <c r="L45" s="377" t="s">
        <v>12</v>
      </c>
      <c r="M45" s="377"/>
      <c r="N45" s="377"/>
      <c r="O45" s="377"/>
      <c r="P45" s="377"/>
      <c r="Q45" s="377"/>
      <c r="R45" s="377"/>
      <c r="S45" s="377"/>
      <c r="T45" s="377"/>
      <c r="U45" s="377" t="s">
        <v>13</v>
      </c>
      <c r="V45" s="377"/>
      <c r="W45" s="377"/>
      <c r="X45" s="377"/>
      <c r="Y45" s="377"/>
      <c r="Z45" s="377"/>
      <c r="AA45" s="377"/>
      <c r="AB45" s="377"/>
      <c r="AC45" s="377"/>
      <c r="AD45" s="377"/>
      <c r="AE45" s="377" t="s">
        <v>14</v>
      </c>
      <c r="AF45" s="377"/>
      <c r="AG45" s="377"/>
      <c r="AH45" s="377"/>
      <c r="AI45" s="377" t="s">
        <v>15</v>
      </c>
      <c r="AJ45" s="377"/>
      <c r="AK45" s="377"/>
      <c r="AL45" s="377"/>
      <c r="AM45" s="377"/>
      <c r="AN45" s="377" t="s">
        <v>16</v>
      </c>
      <c r="AO45" s="377"/>
      <c r="AP45" s="377"/>
      <c r="AQ45" s="377"/>
      <c r="AR45" s="378" t="s">
        <v>17</v>
      </c>
      <c r="AS45" s="378"/>
      <c r="AT45" s="378"/>
      <c r="AU45" s="378"/>
      <c r="AV45" s="378"/>
      <c r="AW45" s="378"/>
      <c r="AX45" s="378"/>
      <c r="AY45" s="5"/>
    </row>
    <row r="46" spans="1:51" ht="19.5" customHeight="1">
      <c r="A46" s="4"/>
      <c r="B46" s="384">
        <f>SÖZLEŞME!B17</f>
        <v>0</v>
      </c>
      <c r="C46" s="384"/>
      <c r="D46" s="384"/>
      <c r="E46" s="384"/>
      <c r="F46" s="384"/>
      <c r="G46" s="385">
        <f>SÖZLEŞME!G17</f>
        <v>0</v>
      </c>
      <c r="H46" s="385"/>
      <c r="I46" s="385"/>
      <c r="J46" s="385"/>
      <c r="K46" s="385"/>
      <c r="L46" s="385">
        <f>SÖZLEŞME!K17</f>
        <v>0</v>
      </c>
      <c r="M46" s="385"/>
      <c r="N46" s="385"/>
      <c r="O46" s="385"/>
      <c r="P46" s="385"/>
      <c r="Q46" s="385"/>
      <c r="R46" s="385"/>
      <c r="S46" s="385"/>
      <c r="T46" s="385"/>
      <c r="U46" s="385">
        <f>SÖZLEŞME!R17</f>
        <v>0</v>
      </c>
      <c r="V46" s="385"/>
      <c r="W46" s="385"/>
      <c r="X46" s="385"/>
      <c r="Y46" s="385"/>
      <c r="Z46" s="385"/>
      <c r="AA46" s="385"/>
      <c r="AB46" s="385"/>
      <c r="AC46" s="385"/>
      <c r="AD46" s="385"/>
      <c r="AE46" s="386">
        <f>SÖZLEŞME!AA17</f>
        <v>0</v>
      </c>
      <c r="AF46" s="386"/>
      <c r="AG46" s="386"/>
      <c r="AH46" s="386"/>
      <c r="AI46" s="385">
        <f>SÖZLEŞME!AF17</f>
        <v>0</v>
      </c>
      <c r="AJ46" s="385"/>
      <c r="AK46" s="385"/>
      <c r="AL46" s="385"/>
      <c r="AM46" s="385"/>
      <c r="AN46" s="386">
        <f>SÖZLEŞME!AJ17</f>
        <v>0</v>
      </c>
      <c r="AO46" s="386"/>
      <c r="AP46" s="386"/>
      <c r="AQ46" s="386"/>
      <c r="AR46" s="378"/>
      <c r="AS46" s="378"/>
      <c r="AT46" s="378"/>
      <c r="AU46" s="378"/>
      <c r="AV46" s="378"/>
      <c r="AW46" s="378"/>
      <c r="AX46" s="378"/>
      <c r="AY46" s="5"/>
    </row>
    <row r="47" spans="1:51" ht="20.25">
      <c r="A47" s="4"/>
      <c r="B47" s="387" t="s">
        <v>18</v>
      </c>
      <c r="C47" s="387"/>
      <c r="D47" s="387"/>
      <c r="E47" s="387"/>
      <c r="F47" s="387"/>
      <c r="G47" s="387"/>
      <c r="H47" s="387"/>
      <c r="I47" s="387"/>
      <c r="J47" s="387"/>
      <c r="K47" s="387"/>
      <c r="L47" s="388">
        <f>SÖZLEŞME!Y7</f>
        <v>0</v>
      </c>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9" t="s">
        <v>19</v>
      </c>
      <c r="AS47" s="389"/>
      <c r="AT47" s="389"/>
      <c r="AU47" s="389"/>
      <c r="AV47" s="389"/>
      <c r="AW47" s="389"/>
      <c r="AX47" s="389"/>
      <c r="AY47" s="5"/>
    </row>
    <row r="48" spans="1:51" ht="17.25" customHeight="1">
      <c r="A48" s="4"/>
      <c r="B48" s="390" t="s">
        <v>20</v>
      </c>
      <c r="C48" s="390"/>
      <c r="D48" s="390"/>
      <c r="E48" s="390"/>
      <c r="F48" s="390"/>
      <c r="G48" s="390"/>
      <c r="H48" s="390"/>
      <c r="I48" s="390"/>
      <c r="J48" s="390"/>
      <c r="K48" s="390"/>
      <c r="L48" s="391">
        <f>SÖZLEŞME!Y8</f>
        <v>0</v>
      </c>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2"/>
      <c r="AS48" s="392"/>
      <c r="AT48" s="392"/>
      <c r="AU48" s="392"/>
      <c r="AV48" s="392"/>
      <c r="AW48" s="392"/>
      <c r="AX48" s="392"/>
      <c r="AY48" s="5"/>
    </row>
    <row r="49" spans="1:51" ht="6" customHeight="1">
      <c r="A49" s="4"/>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5"/>
    </row>
    <row r="50" spans="1:51" ht="15">
      <c r="A50" s="4"/>
      <c r="B50" s="393" t="s">
        <v>21</v>
      </c>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5"/>
    </row>
    <row r="51" spans="1:51" ht="45" customHeight="1">
      <c r="A51" s="4"/>
      <c r="B51" s="394" t="s">
        <v>22</v>
      </c>
      <c r="C51" s="394"/>
      <c r="D51" s="394"/>
      <c r="E51" s="394"/>
      <c r="F51" s="394"/>
      <c r="G51" s="395" t="s">
        <v>23</v>
      </c>
      <c r="H51" s="395"/>
      <c r="I51" s="395"/>
      <c r="J51" s="395"/>
      <c r="K51" s="395"/>
      <c r="L51" s="395" t="s">
        <v>24</v>
      </c>
      <c r="M51" s="395"/>
      <c r="N51" s="395"/>
      <c r="O51" s="395"/>
      <c r="P51" s="395"/>
      <c r="Q51" s="395"/>
      <c r="R51" s="395"/>
      <c r="S51" s="395"/>
      <c r="T51" s="395"/>
      <c r="U51" s="395" t="s">
        <v>25</v>
      </c>
      <c r="V51" s="395"/>
      <c r="W51" s="395"/>
      <c r="X51" s="395"/>
      <c r="Y51" s="395"/>
      <c r="Z51" s="395"/>
      <c r="AA51" s="395"/>
      <c r="AB51" s="395"/>
      <c r="AC51" s="395"/>
      <c r="AD51" s="395" t="s">
        <v>26</v>
      </c>
      <c r="AE51" s="395"/>
      <c r="AF51" s="395"/>
      <c r="AG51" s="395"/>
      <c r="AH51" s="395"/>
      <c r="AI51" s="395" t="s">
        <v>27</v>
      </c>
      <c r="AJ51" s="395"/>
      <c r="AK51" s="395"/>
      <c r="AL51" s="395"/>
      <c r="AM51" s="395"/>
      <c r="AN51" s="395" t="s">
        <v>28</v>
      </c>
      <c r="AO51" s="395"/>
      <c r="AP51" s="395"/>
      <c r="AQ51" s="395"/>
      <c r="AR51" s="396" t="s">
        <v>29</v>
      </c>
      <c r="AS51" s="396"/>
      <c r="AT51" s="396"/>
      <c r="AU51" s="396"/>
      <c r="AV51" s="396"/>
      <c r="AW51" s="396"/>
      <c r="AX51" s="396"/>
      <c r="AY51" s="5"/>
    </row>
    <row r="52" spans="1:51" ht="6.75" customHeight="1">
      <c r="A52" s="4"/>
      <c r="B52" s="397"/>
      <c r="C52" s="397"/>
      <c r="D52" s="397"/>
      <c r="E52" s="397"/>
      <c r="F52" s="397"/>
      <c r="G52" s="398">
        <f>'ASGARİ ÜCRET FORMU'!F22</f>
        <v>2</v>
      </c>
      <c r="H52" s="398"/>
      <c r="I52" s="398"/>
      <c r="J52" s="398"/>
      <c r="K52" s="398"/>
      <c r="L52" s="399">
        <f>'ASGARİ ÜCRET FORMU'!C28</f>
        <v>245</v>
      </c>
      <c r="M52" s="399"/>
      <c r="N52" s="399"/>
      <c r="O52" s="399"/>
      <c r="P52" s="399"/>
      <c r="Q52" s="399"/>
      <c r="R52" s="399"/>
      <c r="S52" s="399"/>
      <c r="T52" s="399"/>
      <c r="U52" s="398">
        <f>SÖZLEŞME!G27</f>
        <v>0</v>
      </c>
      <c r="V52" s="398"/>
      <c r="W52" s="398"/>
      <c r="X52" s="398"/>
      <c r="Y52" s="398"/>
      <c r="Z52" s="398"/>
      <c r="AA52" s="398"/>
      <c r="AB52" s="398"/>
      <c r="AC52" s="398"/>
      <c r="AD52" s="398">
        <f>SÖZLEŞME!K27</f>
        <v>2</v>
      </c>
      <c r="AE52" s="398"/>
      <c r="AF52" s="398"/>
      <c r="AG52" s="398"/>
      <c r="AH52" s="398"/>
      <c r="AI52" s="398">
        <f>SÖZLEŞME!N27</f>
        <v>250</v>
      </c>
      <c r="AJ52" s="398"/>
      <c r="AK52" s="398"/>
      <c r="AL52" s="398"/>
      <c r="AM52" s="398"/>
      <c r="AN52" s="398">
        <f>SÖZLEŞME!AD27</f>
        <v>9</v>
      </c>
      <c r="AO52" s="398"/>
      <c r="AP52" s="398"/>
      <c r="AQ52" s="398"/>
      <c r="AR52" s="400" t="str">
        <f>SÖZLEŞME!B27</f>
        <v>Konut </v>
      </c>
      <c r="AS52" s="400"/>
      <c r="AT52" s="400"/>
      <c r="AU52" s="400"/>
      <c r="AV52" s="400"/>
      <c r="AW52" s="400"/>
      <c r="AX52" s="400"/>
      <c r="AY52" s="5"/>
    </row>
    <row r="53" spans="1:51" ht="12.75">
      <c r="A53" s="4"/>
      <c r="B53" s="397"/>
      <c r="C53" s="397"/>
      <c r="D53" s="397"/>
      <c r="E53" s="397"/>
      <c r="F53" s="397"/>
      <c r="G53" s="398"/>
      <c r="H53" s="398"/>
      <c r="I53" s="398"/>
      <c r="J53" s="398"/>
      <c r="K53" s="398"/>
      <c r="L53" s="399"/>
      <c r="M53" s="399"/>
      <c r="N53" s="399"/>
      <c r="O53" s="399"/>
      <c r="P53" s="399"/>
      <c r="Q53" s="399"/>
      <c r="R53" s="399"/>
      <c r="S53" s="399"/>
      <c r="T53" s="399"/>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400"/>
      <c r="AS53" s="400"/>
      <c r="AT53" s="400"/>
      <c r="AU53" s="400"/>
      <c r="AV53" s="400"/>
      <c r="AW53" s="400"/>
      <c r="AX53" s="400"/>
      <c r="AY53" s="5"/>
    </row>
    <row r="54" spans="1:51" ht="6.75" customHeight="1">
      <c r="A54" s="4"/>
      <c r="B54" s="397"/>
      <c r="C54" s="397"/>
      <c r="D54" s="397"/>
      <c r="E54" s="397"/>
      <c r="F54" s="397"/>
      <c r="G54" s="398"/>
      <c r="H54" s="398"/>
      <c r="I54" s="398"/>
      <c r="J54" s="398"/>
      <c r="K54" s="398"/>
      <c r="L54" s="399"/>
      <c r="M54" s="399"/>
      <c r="N54" s="399"/>
      <c r="O54" s="399"/>
      <c r="P54" s="399"/>
      <c r="Q54" s="399"/>
      <c r="R54" s="399"/>
      <c r="S54" s="399"/>
      <c r="T54" s="399"/>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400"/>
      <c r="AS54" s="400"/>
      <c r="AT54" s="400"/>
      <c r="AU54" s="400"/>
      <c r="AV54" s="400"/>
      <c r="AW54" s="400"/>
      <c r="AX54" s="400"/>
      <c r="AY54" s="5"/>
    </row>
    <row r="55" spans="1:51" ht="7.5" customHeight="1">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4"/>
    </row>
    <row r="56" ht="6.75" customHeight="1"/>
  </sheetData>
  <mergeCells count="61">
    <mergeCell ref="AD52:AH54"/>
    <mergeCell ref="AI52:AM54"/>
    <mergeCell ref="AN52:AQ54"/>
    <mergeCell ref="AR52:AX54"/>
    <mergeCell ref="B52:F54"/>
    <mergeCell ref="G52:K54"/>
    <mergeCell ref="L52:T54"/>
    <mergeCell ref="U52:AC54"/>
    <mergeCell ref="B50:AX50"/>
    <mergeCell ref="B51:F51"/>
    <mergeCell ref="G51:K51"/>
    <mergeCell ref="L51:T51"/>
    <mergeCell ref="U51:AC51"/>
    <mergeCell ref="AD51:AH51"/>
    <mergeCell ref="AI51:AM51"/>
    <mergeCell ref="AN51:AQ51"/>
    <mergeCell ref="AR51:AX51"/>
    <mergeCell ref="B47:K47"/>
    <mergeCell ref="L47:AQ47"/>
    <mergeCell ref="AR47:AX47"/>
    <mergeCell ref="B48:K48"/>
    <mergeCell ref="L48:AQ48"/>
    <mergeCell ref="AR48:AX48"/>
    <mergeCell ref="AE46:AH46"/>
    <mergeCell ref="AI46:AM46"/>
    <mergeCell ref="AN46:AQ46"/>
    <mergeCell ref="AR46:AX46"/>
    <mergeCell ref="B46:F46"/>
    <mergeCell ref="G46:K46"/>
    <mergeCell ref="L46:T46"/>
    <mergeCell ref="U46:AD46"/>
    <mergeCell ref="B44:AX44"/>
    <mergeCell ref="B45:F45"/>
    <mergeCell ref="G45:K45"/>
    <mergeCell ref="L45:T45"/>
    <mergeCell ref="U45:AD45"/>
    <mergeCell ref="AE45:AH45"/>
    <mergeCell ref="AI45:AM45"/>
    <mergeCell ref="AN45:AQ45"/>
    <mergeCell ref="AR45:AX45"/>
    <mergeCell ref="AU5:AX5"/>
    <mergeCell ref="B14:X14"/>
    <mergeCell ref="Y14:AX14"/>
    <mergeCell ref="B40:AX41"/>
    <mergeCell ref="Y5:AG5"/>
    <mergeCell ref="AH5:AL5"/>
    <mergeCell ref="AM5:AQ5"/>
    <mergeCell ref="AR5:AT5"/>
    <mergeCell ref="B5:J5"/>
    <mergeCell ref="K5:O5"/>
    <mergeCell ref="P5:T5"/>
    <mergeCell ref="U5:X5"/>
    <mergeCell ref="B3:X3"/>
    <mergeCell ref="Y3:AX3"/>
    <mergeCell ref="B4:J4"/>
    <mergeCell ref="K4:O4"/>
    <mergeCell ref="P4:X4"/>
    <mergeCell ref="Y4:AG4"/>
    <mergeCell ref="AH4:AL4"/>
    <mergeCell ref="AM4:AT4"/>
    <mergeCell ref="AU4:AX4"/>
  </mergeCells>
  <printOptions/>
  <pageMargins left="0.2701388888888889" right="0.25" top="0.4902777777777778" bottom="0.5097222222222222" header="0.5118055555555556" footer="0.5118055555555556"/>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T154"/>
  <sheetViews>
    <sheetView showZeros="0" workbookViewId="0" topLeftCell="A1">
      <pane ySplit="4" topLeftCell="BM114" activePane="bottomLeft" state="frozen"/>
      <selection pane="topLeft" activeCell="A1" sqref="A1"/>
      <selection pane="bottomLeft" activeCell="A125" sqref="A125"/>
    </sheetView>
  </sheetViews>
  <sheetFormatPr defaultColWidth="9.140625" defaultRowHeight="12.75"/>
  <cols>
    <col min="1" max="1" width="9.140625" style="26" customWidth="1"/>
    <col min="2" max="6" width="0" style="27" hidden="1" customWidth="1"/>
    <col min="7" max="7" width="0" style="28" hidden="1" customWidth="1"/>
    <col min="8" max="18" width="8.57421875" style="0" customWidth="1"/>
    <col min="19" max="16384" width="9.00390625" style="0" customWidth="1"/>
  </cols>
  <sheetData>
    <row r="1" spans="1:18" ht="12.75">
      <c r="A1" s="29" t="s">
        <v>32</v>
      </c>
      <c r="B1" s="30"/>
      <c r="C1" s="31"/>
      <c r="D1" s="31"/>
      <c r="E1" s="31"/>
      <c r="F1" s="31"/>
      <c r="G1" s="32"/>
      <c r="H1" s="33">
        <v>1</v>
      </c>
      <c r="I1" s="34">
        <v>2</v>
      </c>
      <c r="J1" s="35" t="s">
        <v>33</v>
      </c>
      <c r="K1" s="35" t="s">
        <v>34</v>
      </c>
      <c r="L1" s="35" t="s">
        <v>35</v>
      </c>
      <c r="M1" s="35" t="s">
        <v>36</v>
      </c>
      <c r="N1" s="35" t="s">
        <v>37</v>
      </c>
      <c r="O1" s="35" t="s">
        <v>38</v>
      </c>
      <c r="P1" s="35" t="s">
        <v>39</v>
      </c>
      <c r="Q1" s="35" t="s">
        <v>40</v>
      </c>
      <c r="R1" s="35" t="s">
        <v>41</v>
      </c>
    </row>
    <row r="2" spans="1:18" s="41" customFormat="1" ht="11.25">
      <c r="A2" s="36" t="s">
        <v>42</v>
      </c>
      <c r="B2" s="37"/>
      <c r="C2" s="38"/>
      <c r="D2" s="38"/>
      <c r="E2" s="38"/>
      <c r="F2" s="38"/>
      <c r="G2" s="39"/>
      <c r="H2" s="40">
        <v>112</v>
      </c>
      <c r="I2" s="40">
        <v>245</v>
      </c>
      <c r="J2" s="40">
        <v>399</v>
      </c>
      <c r="K2" s="40">
        <v>455</v>
      </c>
      <c r="L2" s="40">
        <v>513</v>
      </c>
      <c r="M2" s="40">
        <v>568</v>
      </c>
      <c r="N2" s="40">
        <v>682</v>
      </c>
      <c r="O2" s="40">
        <v>846</v>
      </c>
      <c r="P2" s="40">
        <v>1025</v>
      </c>
      <c r="Q2" s="40">
        <v>1169</v>
      </c>
      <c r="R2" s="40">
        <v>1396</v>
      </c>
    </row>
    <row r="3" spans="1:18" ht="16.5" customHeight="1">
      <c r="A3" s="42" t="s">
        <v>43</v>
      </c>
      <c r="B3" s="43">
        <v>1</v>
      </c>
      <c r="C3" s="43">
        <v>2</v>
      </c>
      <c r="D3" s="43">
        <v>3</v>
      </c>
      <c r="E3" s="43">
        <v>4</v>
      </c>
      <c r="F3" s="43">
        <v>5</v>
      </c>
      <c r="G3" s="43"/>
      <c r="H3" s="44" t="s">
        <v>44</v>
      </c>
      <c r="I3" s="44" t="s">
        <v>44</v>
      </c>
      <c r="J3" s="44" t="s">
        <v>44</v>
      </c>
      <c r="K3" s="44" t="s">
        <v>44</v>
      </c>
      <c r="L3" s="44" t="s">
        <v>44</v>
      </c>
      <c r="M3" s="44" t="s">
        <v>44</v>
      </c>
      <c r="N3" s="44" t="s">
        <v>44</v>
      </c>
      <c r="O3" s="44" t="s">
        <v>44</v>
      </c>
      <c r="P3" s="44" t="s">
        <v>44</v>
      </c>
      <c r="Q3" s="44" t="s">
        <v>44</v>
      </c>
      <c r="R3" s="44" t="s">
        <v>44</v>
      </c>
    </row>
    <row r="4" spans="1:18" ht="12.75" customHeight="1" hidden="1">
      <c r="A4" s="45">
        <v>10</v>
      </c>
      <c r="B4" s="46">
        <v>4.37</v>
      </c>
      <c r="C4" s="46">
        <v>4.93</v>
      </c>
      <c r="D4" s="46">
        <v>5.49</v>
      </c>
      <c r="E4" s="46">
        <v>6.05</v>
      </c>
      <c r="F4" s="46">
        <v>6.61</v>
      </c>
      <c r="G4" s="47">
        <v>1</v>
      </c>
      <c r="H4" s="44"/>
      <c r="I4" s="44"/>
      <c r="J4" s="44"/>
      <c r="K4" s="44"/>
      <c r="L4" s="44"/>
      <c r="M4" s="44"/>
      <c r="N4" s="44"/>
      <c r="O4" s="44"/>
      <c r="P4" s="44"/>
      <c r="Q4" s="44"/>
      <c r="R4" s="44"/>
    </row>
    <row r="5" spans="1:18" ht="12.75" customHeight="1" hidden="1">
      <c r="A5" s="45">
        <v>50</v>
      </c>
      <c r="B5" s="46">
        <v>4.37</v>
      </c>
      <c r="C5" s="46">
        <v>4.93</v>
      </c>
      <c r="D5" s="46">
        <v>5.49</v>
      </c>
      <c r="E5" s="46">
        <v>6.05</v>
      </c>
      <c r="F5" s="46">
        <v>6.61</v>
      </c>
      <c r="G5" s="47">
        <v>2</v>
      </c>
      <c r="H5" s="45">
        <f aca="true" t="shared" si="0" ref="H5:H36">$A5*$B5*H$2*$C$133*$J$134*$J$135*$J$136/100</f>
        <v>1.4683199999999998</v>
      </c>
      <c r="I5" s="45">
        <f aca="true" t="shared" si="1" ref="I5:I36">$A5*$C5*$I$2*$C$133*$J$134*$J$135*$J$136/100</f>
        <v>3.6235500000000003</v>
      </c>
      <c r="J5" s="45">
        <f aca="true" t="shared" si="2" ref="J5:J36">$A5*$D5*$J$2*$C$133*$J$134*$J$135*$J$136/100</f>
        <v>6.57153</v>
      </c>
      <c r="K5" s="45">
        <f aca="true" t="shared" si="3" ref="K5:K36">$A5*$D5*$K$2*$C$133*$J$134*$J$135*$J$136/100</f>
        <v>7.49385</v>
      </c>
      <c r="L5" s="45">
        <f aca="true" t="shared" si="4" ref="L5:L36">$A5*$E5*$L$2*$C$133*$J$134*$J$135*$J$136/100</f>
        <v>9.31095</v>
      </c>
      <c r="M5" s="45">
        <f aca="true" t="shared" si="5" ref="M5:M36">$A5*$E5*$M$2*$C$133*$J$134*$J$135*$J$136/100</f>
        <v>10.3092</v>
      </c>
      <c r="N5" s="45">
        <f aca="true" t="shared" si="6" ref="N5:N36">$A5*$E5*$N$2*$C$133*$J$134*$J$135*$J$136/100</f>
        <v>12.3783</v>
      </c>
      <c r="O5" s="45">
        <f aca="true" t="shared" si="7" ref="O5:O36">$A5*$F5*$O$2*$C$133*$J$134*$J$135*$J$136/100</f>
        <v>16.77618</v>
      </c>
      <c r="P5" s="45">
        <f aca="true" t="shared" si="8" ref="P5:P36">$A5*$F5*$P$2*$C$133*$J$134*$J$135*$J$136/100</f>
        <v>20.32575</v>
      </c>
      <c r="Q5" s="45">
        <f aca="true" t="shared" si="9" ref="Q5:Q36">$A5*$F5*$Q$2*$C$133*$J$134*$J$135*$J$136/100</f>
        <v>23.181269999999998</v>
      </c>
      <c r="R5" s="45">
        <f aca="true" t="shared" si="10" ref="R5:R36">$A5*$F5*$R$2*$C$133*$J$134*$J$135*$J$136/100</f>
        <v>27.68268</v>
      </c>
    </row>
    <row r="6" spans="1:18" ht="12.75" customHeight="1" hidden="1">
      <c r="A6" s="45">
        <v>100</v>
      </c>
      <c r="B6" s="46">
        <v>4.37</v>
      </c>
      <c r="C6" s="46">
        <v>4.93</v>
      </c>
      <c r="D6" s="46">
        <v>5.49</v>
      </c>
      <c r="E6" s="46">
        <v>6.05</v>
      </c>
      <c r="F6" s="46">
        <v>6.61</v>
      </c>
      <c r="G6" s="48">
        <f aca="true" t="shared" si="11" ref="G6:G37">G5+1</f>
        <v>3</v>
      </c>
      <c r="H6" s="45">
        <f t="shared" si="0"/>
        <v>2.9366399999999997</v>
      </c>
      <c r="I6" s="45">
        <f t="shared" si="1"/>
        <v>7.2471000000000005</v>
      </c>
      <c r="J6" s="45">
        <f t="shared" si="2"/>
        <v>13.14306</v>
      </c>
      <c r="K6" s="45">
        <f t="shared" si="3"/>
        <v>14.9877</v>
      </c>
      <c r="L6" s="45">
        <f t="shared" si="4"/>
        <v>18.6219</v>
      </c>
      <c r="M6" s="45">
        <f t="shared" si="5"/>
        <v>20.6184</v>
      </c>
      <c r="N6" s="45">
        <f t="shared" si="6"/>
        <v>24.7566</v>
      </c>
      <c r="O6" s="45">
        <f t="shared" si="7"/>
        <v>33.55236</v>
      </c>
      <c r="P6" s="45">
        <f t="shared" si="8"/>
        <v>40.6515</v>
      </c>
      <c r="Q6" s="45">
        <f t="shared" si="9"/>
        <v>46.362539999999996</v>
      </c>
      <c r="R6" s="45">
        <f t="shared" si="10"/>
        <v>55.36536</v>
      </c>
    </row>
    <row r="7" spans="1:18" ht="12.75" customHeight="1">
      <c r="A7" s="45">
        <v>150</v>
      </c>
      <c r="B7" s="46">
        <v>4.37</v>
      </c>
      <c r="C7" s="46">
        <v>4.93</v>
      </c>
      <c r="D7" s="46">
        <v>5.49</v>
      </c>
      <c r="E7" s="46">
        <v>6.05</v>
      </c>
      <c r="F7" s="46">
        <v>6.61</v>
      </c>
      <c r="G7" s="48">
        <f t="shared" si="11"/>
        <v>4</v>
      </c>
      <c r="H7" s="45">
        <f t="shared" si="0"/>
        <v>4.40496</v>
      </c>
      <c r="I7" s="45">
        <f t="shared" si="1"/>
        <v>10.870650000000001</v>
      </c>
      <c r="J7" s="45">
        <f t="shared" si="2"/>
        <v>19.71459</v>
      </c>
      <c r="K7" s="45">
        <f t="shared" si="3"/>
        <v>22.481550000000002</v>
      </c>
      <c r="L7" s="45">
        <f t="shared" si="4"/>
        <v>27.93285</v>
      </c>
      <c r="M7" s="45">
        <f t="shared" si="5"/>
        <v>30.9276</v>
      </c>
      <c r="N7" s="45">
        <f t="shared" si="6"/>
        <v>37.1349</v>
      </c>
      <c r="O7" s="45">
        <f t="shared" si="7"/>
        <v>50.328540000000004</v>
      </c>
      <c r="P7" s="45">
        <f t="shared" si="8"/>
        <v>60.977250000000005</v>
      </c>
      <c r="Q7" s="45">
        <f t="shared" si="9"/>
        <v>69.54381000000001</v>
      </c>
      <c r="R7" s="45">
        <f t="shared" si="10"/>
        <v>83.04804</v>
      </c>
    </row>
    <row r="8" spans="1:18" ht="12.75" customHeight="1">
      <c r="A8" s="45">
        <v>200</v>
      </c>
      <c r="B8" s="46">
        <v>4.37</v>
      </c>
      <c r="C8" s="46">
        <v>4.93</v>
      </c>
      <c r="D8" s="46">
        <v>5.49</v>
      </c>
      <c r="E8" s="46">
        <v>6.05</v>
      </c>
      <c r="F8" s="46">
        <v>6.61</v>
      </c>
      <c r="G8" s="48">
        <f t="shared" si="11"/>
        <v>5</v>
      </c>
      <c r="H8" s="45">
        <f t="shared" si="0"/>
        <v>5.873279999999999</v>
      </c>
      <c r="I8" s="45">
        <f t="shared" si="1"/>
        <v>14.494200000000001</v>
      </c>
      <c r="J8" s="45">
        <f t="shared" si="2"/>
        <v>26.28612</v>
      </c>
      <c r="K8" s="45">
        <f t="shared" si="3"/>
        <v>29.9754</v>
      </c>
      <c r="L8" s="45">
        <f t="shared" si="4"/>
        <v>37.2438</v>
      </c>
      <c r="M8" s="45">
        <f t="shared" si="5"/>
        <v>41.2368</v>
      </c>
      <c r="N8" s="45">
        <f t="shared" si="6"/>
        <v>49.5132</v>
      </c>
      <c r="O8" s="45">
        <f t="shared" si="7"/>
        <v>67.10472</v>
      </c>
      <c r="P8" s="45">
        <f t="shared" si="8"/>
        <v>81.303</v>
      </c>
      <c r="Q8" s="45">
        <f t="shared" si="9"/>
        <v>92.72507999999999</v>
      </c>
      <c r="R8" s="45">
        <f t="shared" si="10"/>
        <v>110.73072</v>
      </c>
    </row>
    <row r="9" spans="1:18" s="49" customFormat="1" ht="12.75">
      <c r="A9" s="45">
        <v>250</v>
      </c>
      <c r="B9" s="46">
        <v>4.37</v>
      </c>
      <c r="C9" s="46">
        <v>4.93</v>
      </c>
      <c r="D9" s="46">
        <v>5.49</v>
      </c>
      <c r="E9" s="46">
        <v>6.05</v>
      </c>
      <c r="F9" s="46">
        <v>6.61</v>
      </c>
      <c r="G9" s="48">
        <f t="shared" si="11"/>
        <v>6</v>
      </c>
      <c r="H9" s="45">
        <f t="shared" si="0"/>
        <v>7.3416</v>
      </c>
      <c r="I9" s="45">
        <f t="shared" si="1"/>
        <v>18.11775</v>
      </c>
      <c r="J9" s="45">
        <f t="shared" si="2"/>
        <v>32.85765</v>
      </c>
      <c r="K9" s="45">
        <f t="shared" si="3"/>
        <v>37.46925</v>
      </c>
      <c r="L9" s="45">
        <f t="shared" si="4"/>
        <v>46.554750000000006</v>
      </c>
      <c r="M9" s="45">
        <f t="shared" si="5"/>
        <v>51.54600000000001</v>
      </c>
      <c r="N9" s="45">
        <f t="shared" si="6"/>
        <v>61.89150000000001</v>
      </c>
      <c r="O9" s="45">
        <f t="shared" si="7"/>
        <v>83.8809</v>
      </c>
      <c r="P9" s="45">
        <f t="shared" si="8"/>
        <v>101.62875</v>
      </c>
      <c r="Q9" s="45">
        <f t="shared" si="9"/>
        <v>115.90635</v>
      </c>
      <c r="R9" s="45">
        <f t="shared" si="10"/>
        <v>138.4134</v>
      </c>
    </row>
    <row r="10" spans="1:18" s="49" customFormat="1" ht="12.75">
      <c r="A10" s="45">
        <v>300</v>
      </c>
      <c r="B10" s="46">
        <v>4.28</v>
      </c>
      <c r="C10" s="46">
        <v>4.84</v>
      </c>
      <c r="D10" s="46">
        <v>5.4</v>
      </c>
      <c r="E10" s="46">
        <v>5.96</v>
      </c>
      <c r="F10" s="46">
        <v>6.52</v>
      </c>
      <c r="G10" s="48">
        <f t="shared" si="11"/>
        <v>7</v>
      </c>
      <c r="H10" s="45">
        <f t="shared" si="0"/>
        <v>8.628480000000001</v>
      </c>
      <c r="I10" s="45">
        <f t="shared" si="1"/>
        <v>21.3444</v>
      </c>
      <c r="J10" s="45">
        <f t="shared" si="2"/>
        <v>38.7828</v>
      </c>
      <c r="K10" s="45">
        <f t="shared" si="3"/>
        <v>44.226000000000006</v>
      </c>
      <c r="L10" s="45">
        <f t="shared" si="4"/>
        <v>55.034639999999996</v>
      </c>
      <c r="M10" s="45">
        <f t="shared" si="5"/>
        <v>60.93504</v>
      </c>
      <c r="N10" s="45">
        <f t="shared" si="6"/>
        <v>73.16496000000001</v>
      </c>
      <c r="O10" s="45">
        <f t="shared" si="7"/>
        <v>99.28656</v>
      </c>
      <c r="P10" s="45">
        <f t="shared" si="8"/>
        <v>120.294</v>
      </c>
      <c r="Q10" s="45">
        <f t="shared" si="9"/>
        <v>137.19384</v>
      </c>
      <c r="R10" s="45">
        <f t="shared" si="10"/>
        <v>163.83455999999998</v>
      </c>
    </row>
    <row r="11" spans="1:18" s="49" customFormat="1" ht="12.75">
      <c r="A11" s="45">
        <v>350</v>
      </c>
      <c r="B11" s="46">
        <v>4.19</v>
      </c>
      <c r="C11" s="46">
        <v>4.75</v>
      </c>
      <c r="D11" s="46">
        <v>5.31</v>
      </c>
      <c r="E11" s="46">
        <v>5.87</v>
      </c>
      <c r="F11" s="46">
        <v>6.43</v>
      </c>
      <c r="G11" s="48">
        <f t="shared" si="11"/>
        <v>8</v>
      </c>
      <c r="H11" s="45">
        <f t="shared" si="0"/>
        <v>9.854880000000001</v>
      </c>
      <c r="I11" s="45">
        <f t="shared" si="1"/>
        <v>24.43875</v>
      </c>
      <c r="J11" s="45">
        <f t="shared" si="2"/>
        <v>44.49249</v>
      </c>
      <c r="K11" s="45">
        <f t="shared" si="3"/>
        <v>50.73704999999999</v>
      </c>
      <c r="L11" s="45">
        <f t="shared" si="4"/>
        <v>63.23751</v>
      </c>
      <c r="M11" s="45">
        <f t="shared" si="5"/>
        <v>70.01736</v>
      </c>
      <c r="N11" s="45">
        <f t="shared" si="6"/>
        <v>84.07014000000001</v>
      </c>
      <c r="O11" s="45">
        <f t="shared" si="7"/>
        <v>114.23538</v>
      </c>
      <c r="P11" s="45">
        <f t="shared" si="8"/>
        <v>138.40575</v>
      </c>
      <c r="Q11" s="45">
        <f t="shared" si="9"/>
        <v>157.85007</v>
      </c>
      <c r="R11" s="45">
        <f t="shared" si="10"/>
        <v>188.50188000000003</v>
      </c>
    </row>
    <row r="12" spans="1:18" s="49" customFormat="1" ht="12.75">
      <c r="A12" s="45">
        <v>400</v>
      </c>
      <c r="B12" s="46">
        <v>4.1</v>
      </c>
      <c r="C12" s="46">
        <v>4.66</v>
      </c>
      <c r="D12" s="46">
        <v>5.22</v>
      </c>
      <c r="E12" s="46">
        <v>5.78</v>
      </c>
      <c r="F12" s="46">
        <v>6.34</v>
      </c>
      <c r="G12" s="48">
        <f t="shared" si="11"/>
        <v>9</v>
      </c>
      <c r="H12" s="45">
        <f t="shared" si="0"/>
        <v>11.0208</v>
      </c>
      <c r="I12" s="45">
        <f t="shared" si="1"/>
        <v>27.4008</v>
      </c>
      <c r="J12" s="45">
        <f t="shared" si="2"/>
        <v>49.986720000000005</v>
      </c>
      <c r="K12" s="45">
        <f t="shared" si="3"/>
        <v>57.002399999999994</v>
      </c>
      <c r="L12" s="45">
        <f t="shared" si="4"/>
        <v>71.16336</v>
      </c>
      <c r="M12" s="45">
        <f t="shared" si="5"/>
        <v>78.79296000000001</v>
      </c>
      <c r="N12" s="45">
        <f t="shared" si="6"/>
        <v>94.60704</v>
      </c>
      <c r="O12" s="45">
        <f t="shared" si="7"/>
        <v>128.72736</v>
      </c>
      <c r="P12" s="45">
        <f t="shared" si="8"/>
        <v>155.964</v>
      </c>
      <c r="Q12" s="45">
        <f t="shared" si="9"/>
        <v>177.87504</v>
      </c>
      <c r="R12" s="45">
        <f t="shared" si="10"/>
        <v>212.41536</v>
      </c>
    </row>
    <row r="13" spans="1:18" s="49" customFormat="1" ht="12.75">
      <c r="A13" s="45">
        <v>450</v>
      </c>
      <c r="B13" s="46">
        <v>4.01</v>
      </c>
      <c r="C13" s="46">
        <v>4.57</v>
      </c>
      <c r="D13" s="46">
        <v>5.13</v>
      </c>
      <c r="E13" s="46">
        <v>5.69</v>
      </c>
      <c r="F13" s="46">
        <v>6.25</v>
      </c>
      <c r="G13" s="48">
        <f t="shared" si="11"/>
        <v>10</v>
      </c>
      <c r="H13" s="45">
        <f t="shared" si="0"/>
        <v>12.126240000000001</v>
      </c>
      <c r="I13" s="45">
        <f t="shared" si="1"/>
        <v>30.230549999999997</v>
      </c>
      <c r="J13" s="45">
        <f t="shared" si="2"/>
        <v>55.26549</v>
      </c>
      <c r="K13" s="45">
        <f t="shared" si="3"/>
        <v>63.02205</v>
      </c>
      <c r="L13" s="45">
        <f t="shared" si="4"/>
        <v>78.81219</v>
      </c>
      <c r="M13" s="45">
        <f t="shared" si="5"/>
        <v>87.26183999999999</v>
      </c>
      <c r="N13" s="45">
        <f t="shared" si="6"/>
        <v>104.77566</v>
      </c>
      <c r="O13" s="45">
        <f t="shared" si="7"/>
        <v>142.7625</v>
      </c>
      <c r="P13" s="45">
        <f t="shared" si="8"/>
        <v>172.96875</v>
      </c>
      <c r="Q13" s="45">
        <f t="shared" si="9"/>
        <v>197.26875</v>
      </c>
      <c r="R13" s="45">
        <f t="shared" si="10"/>
        <v>235.575</v>
      </c>
    </row>
    <row r="14" spans="1:18" s="49" customFormat="1" ht="12.75">
      <c r="A14" s="45">
        <v>500</v>
      </c>
      <c r="B14" s="46">
        <v>3.92</v>
      </c>
      <c r="C14" s="46">
        <v>4.48</v>
      </c>
      <c r="D14" s="46">
        <v>5.04</v>
      </c>
      <c r="E14" s="46">
        <v>5.6</v>
      </c>
      <c r="F14" s="46">
        <v>6.16</v>
      </c>
      <c r="G14" s="48">
        <f t="shared" si="11"/>
        <v>11</v>
      </c>
      <c r="H14" s="45">
        <f t="shared" si="0"/>
        <v>13.1712</v>
      </c>
      <c r="I14" s="45">
        <f t="shared" si="1"/>
        <v>32.928000000000004</v>
      </c>
      <c r="J14" s="45">
        <f t="shared" si="2"/>
        <v>60.3288</v>
      </c>
      <c r="K14" s="45">
        <f t="shared" si="3"/>
        <v>68.796</v>
      </c>
      <c r="L14" s="45">
        <f t="shared" si="4"/>
        <v>86.184</v>
      </c>
      <c r="M14" s="45">
        <f t="shared" si="5"/>
        <v>95.42399999999999</v>
      </c>
      <c r="N14" s="45">
        <f t="shared" si="6"/>
        <v>114.57600000000001</v>
      </c>
      <c r="O14" s="45">
        <f t="shared" si="7"/>
        <v>156.3408</v>
      </c>
      <c r="P14" s="45">
        <f t="shared" si="8"/>
        <v>189.42</v>
      </c>
      <c r="Q14" s="45">
        <f t="shared" si="9"/>
        <v>216.03119999999998</v>
      </c>
      <c r="R14" s="45">
        <f t="shared" si="10"/>
        <v>257.98080000000004</v>
      </c>
    </row>
    <row r="15" spans="1:18" s="49" customFormat="1" ht="12.75">
      <c r="A15" s="45">
        <v>550</v>
      </c>
      <c r="B15" s="46">
        <v>3.83</v>
      </c>
      <c r="C15" s="46">
        <v>4.39</v>
      </c>
      <c r="D15" s="46">
        <v>4.95</v>
      </c>
      <c r="E15" s="46">
        <v>5.51</v>
      </c>
      <c r="F15" s="46">
        <v>6.07</v>
      </c>
      <c r="G15" s="48">
        <f t="shared" si="11"/>
        <v>12</v>
      </c>
      <c r="H15" s="45">
        <f t="shared" si="0"/>
        <v>14.15568</v>
      </c>
      <c r="I15" s="45">
        <f t="shared" si="1"/>
        <v>35.49315</v>
      </c>
      <c r="J15" s="45">
        <f t="shared" si="2"/>
        <v>65.17665</v>
      </c>
      <c r="K15" s="45">
        <f t="shared" si="3"/>
        <v>74.32425</v>
      </c>
      <c r="L15" s="45">
        <f t="shared" si="4"/>
        <v>93.27879000000001</v>
      </c>
      <c r="M15" s="45">
        <f t="shared" si="5"/>
        <v>103.27944</v>
      </c>
      <c r="N15" s="45">
        <f t="shared" si="6"/>
        <v>124.00806</v>
      </c>
      <c r="O15" s="45">
        <f t="shared" si="7"/>
        <v>169.46226</v>
      </c>
      <c r="P15" s="45">
        <f t="shared" si="8"/>
        <v>205.31775000000002</v>
      </c>
      <c r="Q15" s="45">
        <f t="shared" si="9"/>
        <v>234.16239000000002</v>
      </c>
      <c r="R15" s="45">
        <f t="shared" si="10"/>
        <v>279.63276</v>
      </c>
    </row>
    <row r="16" spans="1:18" ht="12.75">
      <c r="A16" s="50">
        <v>600</v>
      </c>
      <c r="B16" s="51">
        <v>3.74</v>
      </c>
      <c r="C16" s="51">
        <v>4.3</v>
      </c>
      <c r="D16" s="51">
        <v>4.86</v>
      </c>
      <c r="E16" s="51">
        <v>5.42</v>
      </c>
      <c r="F16" s="51">
        <v>5.98</v>
      </c>
      <c r="G16" s="48">
        <f t="shared" si="11"/>
        <v>13</v>
      </c>
      <c r="H16" s="45">
        <f t="shared" si="0"/>
        <v>15.079680000000002</v>
      </c>
      <c r="I16" s="45">
        <f t="shared" si="1"/>
        <v>37.926</v>
      </c>
      <c r="J16" s="45">
        <f t="shared" si="2"/>
        <v>69.80904000000001</v>
      </c>
      <c r="K16" s="45">
        <f t="shared" si="3"/>
        <v>79.6068</v>
      </c>
      <c r="L16" s="45">
        <f t="shared" si="4"/>
        <v>100.09656000000001</v>
      </c>
      <c r="M16" s="45">
        <f t="shared" si="5"/>
        <v>110.82816000000001</v>
      </c>
      <c r="N16" s="45">
        <f t="shared" si="6"/>
        <v>133.07184</v>
      </c>
      <c r="O16" s="45">
        <f t="shared" si="7"/>
        <v>182.12688000000003</v>
      </c>
      <c r="P16" s="45">
        <f t="shared" si="8"/>
        <v>220.66200000000003</v>
      </c>
      <c r="Q16" s="45">
        <f t="shared" si="9"/>
        <v>251.66232000000008</v>
      </c>
      <c r="R16" s="45">
        <f t="shared" si="10"/>
        <v>300.5308800000001</v>
      </c>
    </row>
    <row r="17" spans="1:18" s="49" customFormat="1" ht="12.75">
      <c r="A17" s="45">
        <v>650</v>
      </c>
      <c r="B17" s="46">
        <v>3.65</v>
      </c>
      <c r="C17" s="46">
        <v>4.21</v>
      </c>
      <c r="D17" s="46">
        <v>4.77</v>
      </c>
      <c r="E17" s="46">
        <v>5.33</v>
      </c>
      <c r="F17" s="46">
        <v>5.89</v>
      </c>
      <c r="G17" s="48">
        <f t="shared" si="11"/>
        <v>14</v>
      </c>
      <c r="H17" s="45">
        <f t="shared" si="0"/>
        <v>15.9432</v>
      </c>
      <c r="I17" s="45">
        <f t="shared" si="1"/>
        <v>40.22655</v>
      </c>
      <c r="J17" s="45">
        <f t="shared" si="2"/>
        <v>74.22596999999999</v>
      </c>
      <c r="K17" s="45">
        <f t="shared" si="3"/>
        <v>84.64364999999998</v>
      </c>
      <c r="L17" s="45">
        <f t="shared" si="4"/>
        <v>106.63731</v>
      </c>
      <c r="M17" s="45">
        <f t="shared" si="5"/>
        <v>118.07016</v>
      </c>
      <c r="N17" s="45">
        <f t="shared" si="6"/>
        <v>141.76734</v>
      </c>
      <c r="O17" s="45">
        <f t="shared" si="7"/>
        <v>194.33466</v>
      </c>
      <c r="P17" s="45">
        <f t="shared" si="8"/>
        <v>235.45275</v>
      </c>
      <c r="Q17" s="45">
        <f t="shared" si="9"/>
        <v>268.53099000000003</v>
      </c>
      <c r="R17" s="45">
        <f t="shared" si="10"/>
        <v>320.67516</v>
      </c>
    </row>
    <row r="18" spans="1:18" ht="12.75">
      <c r="A18" s="50">
        <v>700</v>
      </c>
      <c r="B18" s="51">
        <v>3.56</v>
      </c>
      <c r="C18" s="51">
        <v>4.12</v>
      </c>
      <c r="D18" s="51">
        <v>4.68</v>
      </c>
      <c r="E18" s="51">
        <v>5.24</v>
      </c>
      <c r="F18" s="51">
        <v>5.8</v>
      </c>
      <c r="G18" s="48">
        <f t="shared" si="11"/>
        <v>15</v>
      </c>
      <c r="H18" s="45">
        <f t="shared" si="0"/>
        <v>16.74624</v>
      </c>
      <c r="I18" s="45">
        <f t="shared" si="1"/>
        <v>42.394800000000004</v>
      </c>
      <c r="J18" s="45">
        <f t="shared" si="2"/>
        <v>78.42744</v>
      </c>
      <c r="K18" s="45">
        <f t="shared" si="3"/>
        <v>89.4348</v>
      </c>
      <c r="L18" s="45">
        <f t="shared" si="4"/>
        <v>112.90104</v>
      </c>
      <c r="M18" s="45">
        <f t="shared" si="5"/>
        <v>125.00544</v>
      </c>
      <c r="N18" s="45">
        <f t="shared" si="6"/>
        <v>150.09456</v>
      </c>
      <c r="O18" s="45">
        <f t="shared" si="7"/>
        <v>206.0856</v>
      </c>
      <c r="P18" s="45">
        <f t="shared" si="8"/>
        <v>249.69</v>
      </c>
      <c r="Q18" s="45">
        <f t="shared" si="9"/>
        <v>284.7684</v>
      </c>
      <c r="R18" s="45">
        <f t="shared" si="10"/>
        <v>340.06559999999996</v>
      </c>
    </row>
    <row r="19" spans="1:18" ht="12.75">
      <c r="A19" s="50">
        <v>750</v>
      </c>
      <c r="B19" s="51">
        <v>3.47</v>
      </c>
      <c r="C19" s="51">
        <v>4.03</v>
      </c>
      <c r="D19" s="51">
        <v>4.59</v>
      </c>
      <c r="E19" s="51">
        <v>5.15</v>
      </c>
      <c r="F19" s="51">
        <v>5.71</v>
      </c>
      <c r="G19" s="48">
        <f t="shared" si="11"/>
        <v>16</v>
      </c>
      <c r="H19" s="45">
        <f t="shared" si="0"/>
        <v>17.4888</v>
      </c>
      <c r="I19" s="45">
        <f t="shared" si="1"/>
        <v>44.430749999999996</v>
      </c>
      <c r="J19" s="45">
        <f t="shared" si="2"/>
        <v>82.41345</v>
      </c>
      <c r="K19" s="45">
        <f t="shared" si="3"/>
        <v>93.98025</v>
      </c>
      <c r="L19" s="45">
        <f t="shared" si="4"/>
        <v>118.88775000000001</v>
      </c>
      <c r="M19" s="45">
        <f t="shared" si="5"/>
        <v>131.63400000000004</v>
      </c>
      <c r="N19" s="45">
        <f t="shared" si="6"/>
        <v>158.05350000000004</v>
      </c>
      <c r="O19" s="45">
        <f t="shared" si="7"/>
        <v>217.3797</v>
      </c>
      <c r="P19" s="45">
        <f t="shared" si="8"/>
        <v>263.37375</v>
      </c>
      <c r="Q19" s="45">
        <f t="shared" si="9"/>
        <v>300.37455</v>
      </c>
      <c r="R19" s="45">
        <f t="shared" si="10"/>
        <v>358.7022</v>
      </c>
    </row>
    <row r="20" spans="1:18" ht="12.75">
      <c r="A20" s="50">
        <v>800</v>
      </c>
      <c r="B20" s="51">
        <v>3.38</v>
      </c>
      <c r="C20" s="51">
        <v>3.94</v>
      </c>
      <c r="D20" s="51">
        <v>4.5</v>
      </c>
      <c r="E20" s="51">
        <v>5.06</v>
      </c>
      <c r="F20" s="51">
        <v>5.62</v>
      </c>
      <c r="G20" s="48">
        <f t="shared" si="11"/>
        <v>17</v>
      </c>
      <c r="H20" s="45">
        <f t="shared" si="0"/>
        <v>18.17088</v>
      </c>
      <c r="I20" s="45">
        <f t="shared" si="1"/>
        <v>46.3344</v>
      </c>
      <c r="J20" s="45">
        <f t="shared" si="2"/>
        <v>86.184</v>
      </c>
      <c r="K20" s="45">
        <f t="shared" si="3"/>
        <v>98.28</v>
      </c>
      <c r="L20" s="45">
        <f t="shared" si="4"/>
        <v>124.59743999999999</v>
      </c>
      <c r="M20" s="45">
        <f t="shared" si="5"/>
        <v>137.95583999999997</v>
      </c>
      <c r="N20" s="45">
        <f t="shared" si="6"/>
        <v>165.64415999999997</v>
      </c>
      <c r="O20" s="45">
        <f t="shared" si="7"/>
        <v>228.21696</v>
      </c>
      <c r="P20" s="45">
        <f t="shared" si="8"/>
        <v>276.504</v>
      </c>
      <c r="Q20" s="45">
        <f t="shared" si="9"/>
        <v>315.34944</v>
      </c>
      <c r="R20" s="45">
        <f t="shared" si="10"/>
        <v>376.58495999999997</v>
      </c>
    </row>
    <row r="21" spans="1:18" ht="12.75">
      <c r="A21" s="50">
        <v>850</v>
      </c>
      <c r="B21" s="51">
        <v>3.29</v>
      </c>
      <c r="C21" s="51">
        <v>3.85</v>
      </c>
      <c r="D21" s="51">
        <v>4.41</v>
      </c>
      <c r="E21" s="51">
        <v>4.97</v>
      </c>
      <c r="F21" s="51">
        <v>5.53</v>
      </c>
      <c r="G21" s="48">
        <f t="shared" si="11"/>
        <v>18</v>
      </c>
      <c r="H21" s="45">
        <f t="shared" si="0"/>
        <v>18.79248</v>
      </c>
      <c r="I21" s="45">
        <f t="shared" si="1"/>
        <v>48.10575</v>
      </c>
      <c r="J21" s="45">
        <f t="shared" si="2"/>
        <v>89.73908999999999</v>
      </c>
      <c r="K21" s="45">
        <f t="shared" si="3"/>
        <v>102.33405</v>
      </c>
      <c r="L21" s="45">
        <f t="shared" si="4"/>
        <v>130.03011</v>
      </c>
      <c r="M21" s="45">
        <f t="shared" si="5"/>
        <v>143.97096</v>
      </c>
      <c r="N21" s="45">
        <f t="shared" si="6"/>
        <v>172.86654</v>
      </c>
      <c r="O21" s="45">
        <f t="shared" si="7"/>
        <v>238.59738000000002</v>
      </c>
      <c r="P21" s="45">
        <f t="shared" si="8"/>
        <v>289.08075</v>
      </c>
      <c r="Q21" s="45">
        <f t="shared" si="9"/>
        <v>329.69307000000003</v>
      </c>
      <c r="R21" s="45">
        <f t="shared" si="10"/>
        <v>393.71388</v>
      </c>
    </row>
    <row r="22" spans="1:18" ht="12.75">
      <c r="A22" s="50">
        <v>900</v>
      </c>
      <c r="B22" s="51">
        <v>3.2</v>
      </c>
      <c r="C22" s="51">
        <v>3.76</v>
      </c>
      <c r="D22" s="51">
        <v>4.32</v>
      </c>
      <c r="E22" s="51">
        <v>4.88</v>
      </c>
      <c r="F22" s="51">
        <v>5.44</v>
      </c>
      <c r="G22" s="48">
        <f t="shared" si="11"/>
        <v>19</v>
      </c>
      <c r="H22" s="45">
        <f t="shared" si="0"/>
        <v>19.3536</v>
      </c>
      <c r="I22" s="45">
        <f t="shared" si="1"/>
        <v>49.744800000000005</v>
      </c>
      <c r="J22" s="45">
        <f t="shared" si="2"/>
        <v>93.07872000000002</v>
      </c>
      <c r="K22" s="45">
        <f t="shared" si="3"/>
        <v>106.14240000000001</v>
      </c>
      <c r="L22" s="45">
        <f t="shared" si="4"/>
        <v>135.18576000000002</v>
      </c>
      <c r="M22" s="45">
        <f t="shared" si="5"/>
        <v>149.67936</v>
      </c>
      <c r="N22" s="45">
        <f t="shared" si="6"/>
        <v>179.72064000000003</v>
      </c>
      <c r="O22" s="45">
        <f t="shared" si="7"/>
        <v>248.52096</v>
      </c>
      <c r="P22" s="45">
        <f t="shared" si="8"/>
        <v>301.10400000000004</v>
      </c>
      <c r="Q22" s="45">
        <f t="shared" si="9"/>
        <v>343.40544</v>
      </c>
      <c r="R22" s="45">
        <f t="shared" si="10"/>
        <v>410.08896</v>
      </c>
    </row>
    <row r="23" spans="1:18" ht="12.75">
      <c r="A23" s="50">
        <v>950</v>
      </c>
      <c r="B23" s="51">
        <v>3.11</v>
      </c>
      <c r="C23" s="51">
        <v>3.67</v>
      </c>
      <c r="D23" s="51">
        <v>4.23</v>
      </c>
      <c r="E23" s="51">
        <v>4.79</v>
      </c>
      <c r="F23" s="51">
        <v>5.35</v>
      </c>
      <c r="G23" s="48">
        <f t="shared" si="11"/>
        <v>20</v>
      </c>
      <c r="H23" s="45">
        <f t="shared" si="0"/>
        <v>19.85424</v>
      </c>
      <c r="I23" s="45">
        <f t="shared" si="1"/>
        <v>51.251549999999995</v>
      </c>
      <c r="J23" s="45">
        <f t="shared" si="2"/>
        <v>96.20289000000002</v>
      </c>
      <c r="K23" s="45">
        <f t="shared" si="3"/>
        <v>109.70505000000001</v>
      </c>
      <c r="L23" s="45">
        <f t="shared" si="4"/>
        <v>140.06439</v>
      </c>
      <c r="M23" s="45">
        <f t="shared" si="5"/>
        <v>155.08104</v>
      </c>
      <c r="N23" s="45">
        <f t="shared" si="6"/>
        <v>186.20646</v>
      </c>
      <c r="O23" s="45">
        <f t="shared" si="7"/>
        <v>257.9877</v>
      </c>
      <c r="P23" s="45">
        <f t="shared" si="8"/>
        <v>312.57375</v>
      </c>
      <c r="Q23" s="45">
        <f t="shared" si="9"/>
        <v>356.48654999999997</v>
      </c>
      <c r="R23" s="45">
        <f t="shared" si="10"/>
        <v>425.71020000000004</v>
      </c>
    </row>
    <row r="24" spans="1:18" ht="12.75">
      <c r="A24" s="50">
        <v>1000</v>
      </c>
      <c r="B24" s="51">
        <v>3.02</v>
      </c>
      <c r="C24" s="51">
        <v>3.58</v>
      </c>
      <c r="D24" s="51">
        <v>4.14</v>
      </c>
      <c r="E24" s="51">
        <v>4.7</v>
      </c>
      <c r="F24" s="51">
        <v>5.26</v>
      </c>
      <c r="G24" s="48">
        <f t="shared" si="11"/>
        <v>21</v>
      </c>
      <c r="H24" s="45">
        <f t="shared" si="0"/>
        <v>20.2944</v>
      </c>
      <c r="I24" s="45">
        <f t="shared" si="1"/>
        <v>52.626000000000005</v>
      </c>
      <c r="J24" s="45">
        <f t="shared" si="2"/>
        <v>99.1116</v>
      </c>
      <c r="K24" s="45">
        <f t="shared" si="3"/>
        <v>113.022</v>
      </c>
      <c r="L24" s="45">
        <f t="shared" si="4"/>
        <v>144.666</v>
      </c>
      <c r="M24" s="45">
        <f t="shared" si="5"/>
        <v>160.17600000000002</v>
      </c>
      <c r="N24" s="45">
        <f t="shared" si="6"/>
        <v>192.324</v>
      </c>
      <c r="O24" s="45">
        <f t="shared" si="7"/>
        <v>266.99760000000003</v>
      </c>
      <c r="P24" s="45">
        <f t="shared" si="8"/>
        <v>323.49</v>
      </c>
      <c r="Q24" s="45">
        <f t="shared" si="9"/>
        <v>368.9364</v>
      </c>
      <c r="R24" s="45">
        <f t="shared" si="10"/>
        <v>440.5776</v>
      </c>
    </row>
    <row r="25" spans="1:18" ht="12.75">
      <c r="A25" s="50">
        <v>1050</v>
      </c>
      <c r="B25" s="51">
        <v>3</v>
      </c>
      <c r="C25" s="51">
        <v>3.56</v>
      </c>
      <c r="D25" s="51">
        <v>4.11</v>
      </c>
      <c r="E25" s="51">
        <v>4.66</v>
      </c>
      <c r="F25" s="51">
        <v>5.22</v>
      </c>
      <c r="G25" s="48">
        <f t="shared" si="11"/>
        <v>22</v>
      </c>
      <c r="H25" s="45">
        <f t="shared" si="0"/>
        <v>21.168000000000003</v>
      </c>
      <c r="I25" s="45">
        <f t="shared" si="1"/>
        <v>54.9486</v>
      </c>
      <c r="J25" s="45">
        <f t="shared" si="2"/>
        <v>103.31307000000001</v>
      </c>
      <c r="K25" s="45">
        <f t="shared" si="3"/>
        <v>117.81315000000001</v>
      </c>
      <c r="L25" s="45">
        <f t="shared" si="4"/>
        <v>150.60654</v>
      </c>
      <c r="M25" s="45">
        <f t="shared" si="5"/>
        <v>166.75344</v>
      </c>
      <c r="N25" s="45">
        <f t="shared" si="6"/>
        <v>200.22155999999998</v>
      </c>
      <c r="O25" s="45">
        <f t="shared" si="7"/>
        <v>278.21556</v>
      </c>
      <c r="P25" s="45">
        <f t="shared" si="8"/>
        <v>337.0815</v>
      </c>
      <c r="Q25" s="45">
        <f t="shared" si="9"/>
        <v>384.43734000000006</v>
      </c>
      <c r="R25" s="45">
        <f t="shared" si="10"/>
        <v>459.08856</v>
      </c>
    </row>
    <row r="26" spans="1:18" ht="12.75">
      <c r="A26" s="50">
        <v>1100</v>
      </c>
      <c r="B26" s="51">
        <v>2.98</v>
      </c>
      <c r="C26" s="51">
        <v>3.54</v>
      </c>
      <c r="D26" s="51">
        <v>4.08</v>
      </c>
      <c r="E26" s="51">
        <v>4.63</v>
      </c>
      <c r="F26" s="51">
        <v>5.18</v>
      </c>
      <c r="G26" s="48">
        <f t="shared" si="11"/>
        <v>23</v>
      </c>
      <c r="H26" s="45">
        <f t="shared" si="0"/>
        <v>22.028160000000003</v>
      </c>
      <c r="I26" s="45">
        <f t="shared" si="1"/>
        <v>57.241800000000005</v>
      </c>
      <c r="J26" s="45">
        <f t="shared" si="2"/>
        <v>107.44272000000001</v>
      </c>
      <c r="K26" s="45">
        <f t="shared" si="3"/>
        <v>122.5224</v>
      </c>
      <c r="L26" s="45">
        <f t="shared" si="4"/>
        <v>156.76254</v>
      </c>
      <c r="M26" s="45">
        <f t="shared" si="5"/>
        <v>173.56944</v>
      </c>
      <c r="N26" s="45">
        <f t="shared" si="6"/>
        <v>208.40556</v>
      </c>
      <c r="O26" s="45">
        <f t="shared" si="7"/>
        <v>289.23048</v>
      </c>
      <c r="P26" s="45">
        <f t="shared" si="8"/>
        <v>350.427</v>
      </c>
      <c r="Q26" s="45">
        <f t="shared" si="9"/>
        <v>399.65772</v>
      </c>
      <c r="R26" s="45">
        <f t="shared" si="10"/>
        <v>477.26448000000005</v>
      </c>
    </row>
    <row r="27" spans="1:18" ht="12.75">
      <c r="A27" s="50">
        <v>1150</v>
      </c>
      <c r="B27" s="51">
        <v>2.96</v>
      </c>
      <c r="C27" s="51">
        <v>3.51</v>
      </c>
      <c r="D27" s="51">
        <v>4.05</v>
      </c>
      <c r="E27" s="51">
        <v>4.6</v>
      </c>
      <c r="F27" s="51">
        <v>5.14</v>
      </c>
      <c r="G27" s="48">
        <f t="shared" si="11"/>
        <v>24</v>
      </c>
      <c r="H27" s="45">
        <f t="shared" si="0"/>
        <v>22.874879999999997</v>
      </c>
      <c r="I27" s="45">
        <f t="shared" si="1"/>
        <v>59.336549999999995</v>
      </c>
      <c r="J27" s="45">
        <f t="shared" si="2"/>
        <v>111.50055</v>
      </c>
      <c r="K27" s="45">
        <f t="shared" si="3"/>
        <v>127.14975</v>
      </c>
      <c r="L27" s="45">
        <f t="shared" si="4"/>
        <v>162.8262</v>
      </c>
      <c r="M27" s="45">
        <f t="shared" si="5"/>
        <v>180.2832</v>
      </c>
      <c r="N27" s="45">
        <f t="shared" si="6"/>
        <v>216.4668</v>
      </c>
      <c r="O27" s="45">
        <f t="shared" si="7"/>
        <v>300.04236000000003</v>
      </c>
      <c r="P27" s="45">
        <f t="shared" si="8"/>
        <v>363.5265</v>
      </c>
      <c r="Q27" s="45">
        <f t="shared" si="9"/>
        <v>414.59754</v>
      </c>
      <c r="R27" s="45">
        <f t="shared" si="10"/>
        <v>495.10536</v>
      </c>
    </row>
    <row r="28" spans="1:18" ht="12.75">
      <c r="A28" s="50">
        <v>1200</v>
      </c>
      <c r="B28" s="51">
        <v>2.94</v>
      </c>
      <c r="C28" s="51">
        <v>3.49</v>
      </c>
      <c r="D28" s="51">
        <v>4.02</v>
      </c>
      <c r="E28" s="51">
        <v>4.56</v>
      </c>
      <c r="F28" s="51">
        <v>5.1</v>
      </c>
      <c r="G28" s="48">
        <f t="shared" si="11"/>
        <v>25</v>
      </c>
      <c r="H28" s="45">
        <f t="shared" si="0"/>
        <v>23.708160000000003</v>
      </c>
      <c r="I28" s="45">
        <f t="shared" si="1"/>
        <v>61.56360000000001</v>
      </c>
      <c r="J28" s="45">
        <f t="shared" si="2"/>
        <v>115.48655999999997</v>
      </c>
      <c r="K28" s="45">
        <f t="shared" si="3"/>
        <v>131.69519999999997</v>
      </c>
      <c r="L28" s="45">
        <f t="shared" si="4"/>
        <v>168.42816</v>
      </c>
      <c r="M28" s="45">
        <f t="shared" si="5"/>
        <v>186.48575999999997</v>
      </c>
      <c r="N28" s="45">
        <f t="shared" si="6"/>
        <v>223.91423999999998</v>
      </c>
      <c r="O28" s="45">
        <f t="shared" si="7"/>
        <v>310.6512</v>
      </c>
      <c r="P28" s="45">
        <f t="shared" si="8"/>
        <v>376.38</v>
      </c>
      <c r="Q28" s="45">
        <f t="shared" si="9"/>
        <v>429.2568</v>
      </c>
      <c r="R28" s="45">
        <f t="shared" si="10"/>
        <v>512.6112</v>
      </c>
    </row>
    <row r="29" spans="1:18" ht="12.75">
      <c r="A29" s="50">
        <v>1250</v>
      </c>
      <c r="B29" s="51">
        <v>2.92</v>
      </c>
      <c r="C29" s="51">
        <v>3.46</v>
      </c>
      <c r="D29" s="51">
        <v>3.99</v>
      </c>
      <c r="E29" s="51">
        <v>4.53</v>
      </c>
      <c r="F29" s="51">
        <v>5.07</v>
      </c>
      <c r="G29" s="48">
        <f t="shared" si="11"/>
        <v>26</v>
      </c>
      <c r="H29" s="45">
        <f t="shared" si="0"/>
        <v>24.528000000000002</v>
      </c>
      <c r="I29" s="45">
        <f t="shared" si="1"/>
        <v>63.5775</v>
      </c>
      <c r="J29" s="45">
        <f t="shared" si="2"/>
        <v>119.40075</v>
      </c>
      <c r="K29" s="45">
        <f t="shared" si="3"/>
        <v>136.15875</v>
      </c>
      <c r="L29" s="45">
        <f t="shared" si="4"/>
        <v>174.29174999999998</v>
      </c>
      <c r="M29" s="45">
        <f t="shared" si="5"/>
        <v>192.97799999999998</v>
      </c>
      <c r="N29" s="45">
        <f t="shared" si="6"/>
        <v>231.70950000000002</v>
      </c>
      <c r="O29" s="45">
        <f t="shared" si="7"/>
        <v>321.6915</v>
      </c>
      <c r="P29" s="45">
        <f t="shared" si="8"/>
        <v>389.75625</v>
      </c>
      <c r="Q29" s="45">
        <f t="shared" si="9"/>
        <v>444.51225</v>
      </c>
      <c r="R29" s="45">
        <f t="shared" si="10"/>
        <v>530.8290000000001</v>
      </c>
    </row>
    <row r="30" spans="1:18" ht="12.75">
      <c r="A30" s="50">
        <v>1300</v>
      </c>
      <c r="B30" s="51">
        <v>2.9</v>
      </c>
      <c r="C30" s="51">
        <v>3.44</v>
      </c>
      <c r="D30" s="51">
        <v>3.96</v>
      </c>
      <c r="E30" s="51">
        <v>4.5</v>
      </c>
      <c r="F30" s="51">
        <v>5.04</v>
      </c>
      <c r="G30" s="48">
        <f t="shared" si="11"/>
        <v>27</v>
      </c>
      <c r="H30" s="45">
        <f t="shared" si="0"/>
        <v>25.334400000000002</v>
      </c>
      <c r="I30" s="45">
        <f t="shared" si="1"/>
        <v>65.7384</v>
      </c>
      <c r="J30" s="45">
        <f t="shared" si="2"/>
        <v>123.24312</v>
      </c>
      <c r="K30" s="45">
        <f t="shared" si="3"/>
        <v>140.5404</v>
      </c>
      <c r="L30" s="45">
        <f t="shared" si="4"/>
        <v>180.063</v>
      </c>
      <c r="M30" s="45">
        <f t="shared" si="5"/>
        <v>199.368</v>
      </c>
      <c r="N30" s="45">
        <f t="shared" si="6"/>
        <v>239.382</v>
      </c>
      <c r="O30" s="45">
        <f t="shared" si="7"/>
        <v>332.57952</v>
      </c>
      <c r="P30" s="45">
        <f t="shared" si="8"/>
        <v>402.94800000000004</v>
      </c>
      <c r="Q30" s="45">
        <f t="shared" si="9"/>
        <v>459.55728000000005</v>
      </c>
      <c r="R30" s="45">
        <f t="shared" si="10"/>
        <v>548.79552</v>
      </c>
    </row>
    <row r="31" spans="1:18" ht="12.75">
      <c r="A31" s="50">
        <v>1350</v>
      </c>
      <c r="B31" s="51">
        <v>2.88</v>
      </c>
      <c r="C31" s="51">
        <v>3.41</v>
      </c>
      <c r="D31" s="51">
        <v>3.93</v>
      </c>
      <c r="E31" s="51">
        <v>4.46</v>
      </c>
      <c r="F31" s="51">
        <v>4.99</v>
      </c>
      <c r="G31" s="48">
        <f t="shared" si="11"/>
        <v>28</v>
      </c>
      <c r="H31" s="45">
        <f t="shared" si="0"/>
        <v>26.12736</v>
      </c>
      <c r="I31" s="45">
        <f t="shared" si="1"/>
        <v>67.67145000000001</v>
      </c>
      <c r="J31" s="45">
        <f t="shared" si="2"/>
        <v>127.01367</v>
      </c>
      <c r="K31" s="45">
        <f t="shared" si="3"/>
        <v>144.84015</v>
      </c>
      <c r="L31" s="45">
        <f t="shared" si="4"/>
        <v>185.32638</v>
      </c>
      <c r="M31" s="45">
        <f t="shared" si="5"/>
        <v>205.19567999999998</v>
      </c>
      <c r="N31" s="45">
        <f t="shared" si="6"/>
        <v>246.37932</v>
      </c>
      <c r="O31" s="45">
        <f t="shared" si="7"/>
        <v>341.94474</v>
      </c>
      <c r="P31" s="45">
        <f t="shared" si="8"/>
        <v>414.29474999999996</v>
      </c>
      <c r="Q31" s="45">
        <f t="shared" si="9"/>
        <v>472.49811</v>
      </c>
      <c r="R31" s="45">
        <f t="shared" si="10"/>
        <v>564.24924</v>
      </c>
    </row>
    <row r="32" spans="1:18" ht="12.75">
      <c r="A32" s="50">
        <v>1400</v>
      </c>
      <c r="B32" s="51">
        <v>2.86</v>
      </c>
      <c r="C32" s="51">
        <v>3.39</v>
      </c>
      <c r="D32" s="51">
        <v>3.9</v>
      </c>
      <c r="E32" s="51">
        <v>4.43</v>
      </c>
      <c r="F32" s="51">
        <v>4.96</v>
      </c>
      <c r="G32" s="48">
        <f t="shared" si="11"/>
        <v>29</v>
      </c>
      <c r="H32" s="45">
        <f t="shared" si="0"/>
        <v>26.90688</v>
      </c>
      <c r="I32" s="45">
        <f t="shared" si="1"/>
        <v>69.7662</v>
      </c>
      <c r="J32" s="45">
        <f t="shared" si="2"/>
        <v>130.7124</v>
      </c>
      <c r="K32" s="45">
        <f t="shared" si="3"/>
        <v>149.05800000000002</v>
      </c>
      <c r="L32" s="45">
        <f t="shared" si="4"/>
        <v>190.89756</v>
      </c>
      <c r="M32" s="45">
        <f t="shared" si="5"/>
        <v>211.36416</v>
      </c>
      <c r="N32" s="45">
        <f t="shared" si="6"/>
        <v>253.78583999999998</v>
      </c>
      <c r="O32" s="45">
        <f t="shared" si="7"/>
        <v>352.47744</v>
      </c>
      <c r="P32" s="45">
        <f t="shared" si="8"/>
        <v>427.056</v>
      </c>
      <c r="Q32" s="45">
        <f t="shared" si="9"/>
        <v>487.05216</v>
      </c>
      <c r="R32" s="45">
        <f t="shared" si="10"/>
        <v>581.62944</v>
      </c>
    </row>
    <row r="33" spans="1:18" ht="12.75">
      <c r="A33" s="50">
        <v>1450</v>
      </c>
      <c r="B33" s="51">
        <v>2.84</v>
      </c>
      <c r="C33" s="51">
        <v>3.36</v>
      </c>
      <c r="D33" s="51">
        <v>3.87</v>
      </c>
      <c r="E33" s="51">
        <v>4.4</v>
      </c>
      <c r="F33" s="51">
        <v>4.92</v>
      </c>
      <c r="G33" s="48">
        <f t="shared" si="11"/>
        <v>30</v>
      </c>
      <c r="H33" s="45">
        <f t="shared" si="0"/>
        <v>27.672960000000003</v>
      </c>
      <c r="I33" s="45">
        <f t="shared" si="1"/>
        <v>71.61840000000001</v>
      </c>
      <c r="J33" s="45">
        <f t="shared" si="2"/>
        <v>134.33931</v>
      </c>
      <c r="K33" s="45">
        <f t="shared" si="3"/>
        <v>153.19395</v>
      </c>
      <c r="L33" s="45">
        <f t="shared" si="4"/>
        <v>196.37640000000002</v>
      </c>
      <c r="M33" s="45">
        <f t="shared" si="5"/>
        <v>217.43040000000005</v>
      </c>
      <c r="N33" s="45">
        <f t="shared" si="6"/>
        <v>261.06960000000004</v>
      </c>
      <c r="O33" s="45">
        <f t="shared" si="7"/>
        <v>362.12184</v>
      </c>
      <c r="P33" s="45">
        <f t="shared" si="8"/>
        <v>438.741</v>
      </c>
      <c r="Q33" s="45">
        <f t="shared" si="9"/>
        <v>500.37876000000006</v>
      </c>
      <c r="R33" s="45">
        <f t="shared" si="10"/>
        <v>597.5438399999999</v>
      </c>
    </row>
    <row r="34" spans="1:18" ht="12.75">
      <c r="A34" s="50">
        <v>1500</v>
      </c>
      <c r="B34" s="51">
        <v>2.82</v>
      </c>
      <c r="C34" s="51">
        <v>3.34</v>
      </c>
      <c r="D34" s="51">
        <v>3.85</v>
      </c>
      <c r="E34" s="51">
        <v>4.37</v>
      </c>
      <c r="F34" s="51">
        <v>4.88</v>
      </c>
      <c r="G34" s="48">
        <f t="shared" si="11"/>
        <v>31</v>
      </c>
      <c r="H34" s="45">
        <f t="shared" si="0"/>
        <v>28.4256</v>
      </c>
      <c r="I34" s="45">
        <f t="shared" si="1"/>
        <v>73.64699999999999</v>
      </c>
      <c r="J34" s="45">
        <f t="shared" si="2"/>
        <v>138.2535</v>
      </c>
      <c r="K34" s="45">
        <f t="shared" si="3"/>
        <v>157.6575</v>
      </c>
      <c r="L34" s="45">
        <f t="shared" si="4"/>
        <v>201.7629</v>
      </c>
      <c r="M34" s="45">
        <f t="shared" si="5"/>
        <v>223.3944</v>
      </c>
      <c r="N34" s="45">
        <f t="shared" si="6"/>
        <v>268.23060000000004</v>
      </c>
      <c r="O34" s="45">
        <f t="shared" si="7"/>
        <v>371.5632</v>
      </c>
      <c r="P34" s="45">
        <f t="shared" si="8"/>
        <v>450.18</v>
      </c>
      <c r="Q34" s="45">
        <f t="shared" si="9"/>
        <v>513.4248</v>
      </c>
      <c r="R34" s="45">
        <f t="shared" si="10"/>
        <v>613.1232</v>
      </c>
    </row>
    <row r="35" spans="1:18" ht="12.75">
      <c r="A35" s="50">
        <v>1550</v>
      </c>
      <c r="B35" s="51">
        <v>2.8</v>
      </c>
      <c r="C35" s="51">
        <v>3.31</v>
      </c>
      <c r="D35" s="51">
        <v>3.82</v>
      </c>
      <c r="E35" s="51">
        <v>4.34</v>
      </c>
      <c r="F35" s="51">
        <v>4.85</v>
      </c>
      <c r="G35" s="48">
        <f t="shared" si="11"/>
        <v>32</v>
      </c>
      <c r="H35" s="45">
        <f t="shared" si="0"/>
        <v>29.1648</v>
      </c>
      <c r="I35" s="45">
        <f t="shared" si="1"/>
        <v>75.41835</v>
      </c>
      <c r="J35" s="45">
        <f t="shared" si="2"/>
        <v>141.74874</v>
      </c>
      <c r="K35" s="45">
        <f t="shared" si="3"/>
        <v>161.6433</v>
      </c>
      <c r="L35" s="45">
        <f t="shared" si="4"/>
        <v>207.05706</v>
      </c>
      <c r="M35" s="45">
        <f t="shared" si="5"/>
        <v>229.25616000000002</v>
      </c>
      <c r="N35" s="45">
        <f t="shared" si="6"/>
        <v>275.26884</v>
      </c>
      <c r="O35" s="45">
        <f t="shared" si="7"/>
        <v>381.58829999999995</v>
      </c>
      <c r="P35" s="45">
        <f t="shared" si="8"/>
        <v>462.3262499999999</v>
      </c>
      <c r="Q35" s="45">
        <f t="shared" si="9"/>
        <v>527.2774499999999</v>
      </c>
      <c r="R35" s="45">
        <f t="shared" si="10"/>
        <v>629.6657999999999</v>
      </c>
    </row>
    <row r="36" spans="1:18" ht="12.75">
      <c r="A36" s="50">
        <v>1600</v>
      </c>
      <c r="B36" s="51">
        <v>2.78</v>
      </c>
      <c r="C36" s="51">
        <v>3.29</v>
      </c>
      <c r="D36" s="51">
        <v>3.79</v>
      </c>
      <c r="E36" s="51">
        <v>4.32</v>
      </c>
      <c r="F36" s="51">
        <v>4.81</v>
      </c>
      <c r="G36" s="48">
        <f t="shared" si="11"/>
        <v>33</v>
      </c>
      <c r="H36" s="45">
        <f t="shared" si="0"/>
        <v>29.89056</v>
      </c>
      <c r="I36" s="45">
        <f t="shared" si="1"/>
        <v>77.3808</v>
      </c>
      <c r="J36" s="45">
        <f t="shared" si="2"/>
        <v>145.17216</v>
      </c>
      <c r="K36" s="45">
        <f t="shared" si="3"/>
        <v>165.5472</v>
      </c>
      <c r="L36" s="45">
        <f t="shared" si="4"/>
        <v>212.75136000000003</v>
      </c>
      <c r="M36" s="45">
        <f t="shared" si="5"/>
        <v>235.56096000000002</v>
      </c>
      <c r="N36" s="45">
        <f t="shared" si="6"/>
        <v>282.83904</v>
      </c>
      <c r="O36" s="45">
        <f t="shared" si="7"/>
        <v>390.64895999999993</v>
      </c>
      <c r="P36" s="45">
        <f t="shared" si="8"/>
        <v>473.3039999999999</v>
      </c>
      <c r="Q36" s="45">
        <f t="shared" si="9"/>
        <v>539.7974399999999</v>
      </c>
      <c r="R36" s="45">
        <f t="shared" si="10"/>
        <v>644.6169599999998</v>
      </c>
    </row>
    <row r="37" spans="1:18" ht="12.75">
      <c r="A37" s="50">
        <v>1650</v>
      </c>
      <c r="B37" s="51">
        <v>2.76</v>
      </c>
      <c r="C37" s="51">
        <v>3.26</v>
      </c>
      <c r="D37" s="51">
        <v>3.76</v>
      </c>
      <c r="E37" s="51">
        <v>4.27</v>
      </c>
      <c r="F37" s="51">
        <v>4.77</v>
      </c>
      <c r="G37" s="48">
        <f t="shared" si="11"/>
        <v>34</v>
      </c>
      <c r="H37" s="45">
        <f aca="true" t="shared" si="12" ref="H37:H68">$A37*$B37*H$2*$C$133*$J$134*$J$135*$J$136/100</f>
        <v>30.60288</v>
      </c>
      <c r="I37" s="45">
        <f aca="true" t="shared" si="13" ref="I37:I68">$A37*$C37*$I$2*$C$133*$J$134*$J$135*$J$136/100</f>
        <v>79.07130000000001</v>
      </c>
      <c r="J37" s="45">
        <f aca="true" t="shared" si="14" ref="J37:J68">$A37*$D37*$J$2*$C$133*$J$134*$J$135*$J$136/100</f>
        <v>148.52376</v>
      </c>
      <c r="K37" s="45">
        <f aca="true" t="shared" si="15" ref="K37:K68">$A37*$D37*$K$2*$C$133*$J$134*$J$135*$J$136/100</f>
        <v>169.3692</v>
      </c>
      <c r="L37" s="45">
        <f aca="true" t="shared" si="16" ref="L37:L68">$A37*$E37*$L$2*$C$133*$J$134*$J$135*$J$136/100</f>
        <v>216.86049</v>
      </c>
      <c r="M37" s="45">
        <f aca="true" t="shared" si="17" ref="M37:M68">$A37*$E37*$M$2*$C$133*$J$134*$J$135*$J$136/100</f>
        <v>240.11064</v>
      </c>
      <c r="N37" s="45">
        <f aca="true" t="shared" si="18" ref="N37:N68">$A37*$E37*$N$2*$C$133*$J$134*$J$135*$J$136/100</f>
        <v>288.3018599999999</v>
      </c>
      <c r="O37" s="45">
        <f aca="true" t="shared" si="19" ref="O37:O68">$A37*$F37*$O$2*$C$133*$J$134*$J$135*$J$136/100</f>
        <v>399.50658</v>
      </c>
      <c r="P37" s="45">
        <f aca="true" t="shared" si="20" ref="P37:P68">$A37*$F37*$P$2*$C$133*$J$134*$J$135*$J$136/100</f>
        <v>484.03574999999995</v>
      </c>
      <c r="Q37" s="45">
        <f aca="true" t="shared" si="21" ref="Q37:Q68">$A37*$F37*$Q$2*$C$133*$J$134*$J$135*$J$136/100</f>
        <v>552.0368699999999</v>
      </c>
      <c r="R37" s="45">
        <f aca="true" t="shared" si="22" ref="R37:R68">$A37*$F37*$R$2*$C$133*$J$134*$J$135*$J$136/100</f>
        <v>659.2330799999999</v>
      </c>
    </row>
    <row r="38" spans="1:18" ht="12.75">
      <c r="A38" s="50">
        <v>1700</v>
      </c>
      <c r="B38" s="51">
        <v>2.74</v>
      </c>
      <c r="C38" s="51">
        <v>3.24</v>
      </c>
      <c r="D38" s="51">
        <v>3.73</v>
      </c>
      <c r="E38" s="51">
        <v>4.24</v>
      </c>
      <c r="F38" s="51">
        <v>4.73</v>
      </c>
      <c r="G38" s="48">
        <f aca="true" t="shared" si="23" ref="G38:G69">G37+1</f>
        <v>35</v>
      </c>
      <c r="H38" s="45">
        <f t="shared" si="12"/>
        <v>31.301759999999998</v>
      </c>
      <c r="I38" s="45">
        <f t="shared" si="13"/>
        <v>80.9676</v>
      </c>
      <c r="J38" s="45">
        <f t="shared" si="14"/>
        <v>151.80354</v>
      </c>
      <c r="K38" s="45">
        <f t="shared" si="15"/>
        <v>173.1093</v>
      </c>
      <c r="L38" s="45">
        <f t="shared" si="16"/>
        <v>221.86224</v>
      </c>
      <c r="M38" s="45">
        <f t="shared" si="17"/>
        <v>245.64864</v>
      </c>
      <c r="N38" s="45">
        <f t="shared" si="18"/>
        <v>294.95136</v>
      </c>
      <c r="O38" s="45">
        <f t="shared" si="19"/>
        <v>408.1611600000001</v>
      </c>
      <c r="P38" s="45">
        <f t="shared" si="20"/>
        <v>494.52150000000006</v>
      </c>
      <c r="Q38" s="45">
        <f t="shared" si="21"/>
        <v>563.9957400000002</v>
      </c>
      <c r="R38" s="45">
        <f t="shared" si="22"/>
        <v>673.5141600000002</v>
      </c>
    </row>
    <row r="39" spans="1:18" ht="12.75">
      <c r="A39" s="50">
        <v>1750</v>
      </c>
      <c r="B39" s="51">
        <v>2.72</v>
      </c>
      <c r="C39" s="51">
        <v>3.22</v>
      </c>
      <c r="D39" s="51">
        <v>3.7</v>
      </c>
      <c r="E39" s="51">
        <v>4.21</v>
      </c>
      <c r="F39" s="51">
        <v>4.69</v>
      </c>
      <c r="G39" s="48">
        <f t="shared" si="23"/>
        <v>36</v>
      </c>
      <c r="H39" s="45">
        <f t="shared" si="12"/>
        <v>31.9872</v>
      </c>
      <c r="I39" s="45">
        <f t="shared" si="13"/>
        <v>82.8345</v>
      </c>
      <c r="J39" s="45">
        <f t="shared" si="14"/>
        <v>155.01149999999998</v>
      </c>
      <c r="K39" s="45">
        <f t="shared" si="15"/>
        <v>176.7675</v>
      </c>
      <c r="L39" s="45">
        <f t="shared" si="16"/>
        <v>226.77165000000002</v>
      </c>
      <c r="M39" s="45">
        <f t="shared" si="17"/>
        <v>251.08440000000002</v>
      </c>
      <c r="N39" s="45">
        <f t="shared" si="18"/>
        <v>301.47810000000004</v>
      </c>
      <c r="O39" s="45">
        <f t="shared" si="19"/>
        <v>416.6127</v>
      </c>
      <c r="P39" s="45">
        <f t="shared" si="20"/>
        <v>504.76125</v>
      </c>
      <c r="Q39" s="45">
        <f t="shared" si="21"/>
        <v>575.67405</v>
      </c>
      <c r="R39" s="45">
        <f t="shared" si="22"/>
        <v>687.4602</v>
      </c>
    </row>
    <row r="40" spans="1:18" ht="12.75">
      <c r="A40" s="50">
        <v>1800</v>
      </c>
      <c r="B40" s="51">
        <v>2.7</v>
      </c>
      <c r="C40" s="51">
        <v>3.19</v>
      </c>
      <c r="D40" s="51">
        <v>3.67</v>
      </c>
      <c r="E40" s="51">
        <v>4.17</v>
      </c>
      <c r="F40" s="51">
        <v>4.66</v>
      </c>
      <c r="G40" s="48">
        <f t="shared" si="23"/>
        <v>37</v>
      </c>
      <c r="H40" s="45">
        <f t="shared" si="12"/>
        <v>32.6592</v>
      </c>
      <c r="I40" s="45">
        <f t="shared" si="13"/>
        <v>84.4074</v>
      </c>
      <c r="J40" s="45">
        <f t="shared" si="14"/>
        <v>158.14764000000002</v>
      </c>
      <c r="K40" s="45">
        <f t="shared" si="15"/>
        <v>180.34380000000002</v>
      </c>
      <c r="L40" s="45">
        <f t="shared" si="16"/>
        <v>231.03468</v>
      </c>
      <c r="M40" s="45">
        <f t="shared" si="17"/>
        <v>255.80448</v>
      </c>
      <c r="N40" s="45">
        <f t="shared" si="18"/>
        <v>307.14552</v>
      </c>
      <c r="O40" s="45">
        <f t="shared" si="19"/>
        <v>425.77488</v>
      </c>
      <c r="P40" s="45">
        <f t="shared" si="20"/>
        <v>515.8620000000001</v>
      </c>
      <c r="Q40" s="45">
        <f t="shared" si="21"/>
        <v>588.33432</v>
      </c>
      <c r="R40" s="45">
        <f t="shared" si="22"/>
        <v>702.57888</v>
      </c>
    </row>
    <row r="41" spans="1:18" ht="12.75">
      <c r="A41" s="50">
        <v>1850</v>
      </c>
      <c r="B41" s="51">
        <v>2.68</v>
      </c>
      <c r="C41" s="51">
        <v>3.17</v>
      </c>
      <c r="D41" s="51">
        <v>3.64</v>
      </c>
      <c r="E41" s="51">
        <v>4.14</v>
      </c>
      <c r="F41" s="51">
        <v>4.62</v>
      </c>
      <c r="G41" s="48">
        <f t="shared" si="23"/>
        <v>38</v>
      </c>
      <c r="H41" s="45">
        <f t="shared" si="12"/>
        <v>33.31776</v>
      </c>
      <c r="I41" s="45">
        <f t="shared" si="13"/>
        <v>86.20815</v>
      </c>
      <c r="J41" s="45">
        <f t="shared" si="14"/>
        <v>161.21196</v>
      </c>
      <c r="K41" s="45">
        <f t="shared" si="15"/>
        <v>183.8382</v>
      </c>
      <c r="L41" s="45">
        <f t="shared" si="16"/>
        <v>235.74401999999998</v>
      </c>
      <c r="M41" s="45">
        <f t="shared" si="17"/>
        <v>261.01872</v>
      </c>
      <c r="N41" s="45">
        <f t="shared" si="18"/>
        <v>313.4062799999999</v>
      </c>
      <c r="O41" s="45">
        <f t="shared" si="19"/>
        <v>433.84572000000003</v>
      </c>
      <c r="P41" s="45">
        <f t="shared" si="20"/>
        <v>525.6405</v>
      </c>
      <c r="Q41" s="45">
        <f t="shared" si="21"/>
        <v>599.48658</v>
      </c>
      <c r="R41" s="45">
        <f t="shared" si="22"/>
        <v>715.8967200000001</v>
      </c>
    </row>
    <row r="42" spans="1:18" ht="12.75">
      <c r="A42" s="50">
        <v>1900</v>
      </c>
      <c r="B42" s="51">
        <v>2.66</v>
      </c>
      <c r="C42" s="51">
        <v>3.13</v>
      </c>
      <c r="D42" s="51">
        <v>3.61</v>
      </c>
      <c r="E42" s="51">
        <v>4.11</v>
      </c>
      <c r="F42" s="51">
        <v>4.58</v>
      </c>
      <c r="G42" s="48">
        <f t="shared" si="23"/>
        <v>39</v>
      </c>
      <c r="H42" s="45">
        <f t="shared" si="12"/>
        <v>33.96288</v>
      </c>
      <c r="I42" s="45">
        <f t="shared" si="13"/>
        <v>87.4209</v>
      </c>
      <c r="J42" s="45">
        <f t="shared" si="14"/>
        <v>164.20446</v>
      </c>
      <c r="K42" s="45">
        <f t="shared" si="15"/>
        <v>187.2507</v>
      </c>
      <c r="L42" s="45">
        <f t="shared" si="16"/>
        <v>240.36102000000002</v>
      </c>
      <c r="M42" s="45">
        <f t="shared" si="17"/>
        <v>266.13072000000005</v>
      </c>
      <c r="N42" s="45">
        <f t="shared" si="18"/>
        <v>319.5442800000001</v>
      </c>
      <c r="O42" s="45">
        <f t="shared" si="19"/>
        <v>441.71352</v>
      </c>
      <c r="P42" s="45">
        <f t="shared" si="20"/>
        <v>535.173</v>
      </c>
      <c r="Q42" s="45">
        <f t="shared" si="21"/>
        <v>610.35828</v>
      </c>
      <c r="R42" s="45">
        <f t="shared" si="22"/>
        <v>728.8795200000001</v>
      </c>
    </row>
    <row r="43" spans="1:18" ht="12.75">
      <c r="A43" s="50">
        <v>1950</v>
      </c>
      <c r="B43" s="51">
        <v>2.64</v>
      </c>
      <c r="C43" s="51">
        <v>3.12</v>
      </c>
      <c r="D43" s="51">
        <v>3.58</v>
      </c>
      <c r="E43" s="51">
        <v>4.07</v>
      </c>
      <c r="F43" s="51">
        <v>4.54</v>
      </c>
      <c r="G43" s="48">
        <f t="shared" si="23"/>
        <v>40</v>
      </c>
      <c r="H43" s="45">
        <f t="shared" si="12"/>
        <v>34.59456</v>
      </c>
      <c r="I43" s="45">
        <f t="shared" si="13"/>
        <v>89.4348</v>
      </c>
      <c r="J43" s="45">
        <f t="shared" si="14"/>
        <v>167.12514</v>
      </c>
      <c r="K43" s="45">
        <f t="shared" si="15"/>
        <v>190.5813</v>
      </c>
      <c r="L43" s="45">
        <f t="shared" si="16"/>
        <v>244.28547000000003</v>
      </c>
      <c r="M43" s="45">
        <f t="shared" si="17"/>
        <v>270.4759200000001</v>
      </c>
      <c r="N43" s="45">
        <f t="shared" si="18"/>
        <v>324.7615800000001</v>
      </c>
      <c r="O43" s="45">
        <f t="shared" si="19"/>
        <v>449.37828</v>
      </c>
      <c r="P43" s="45">
        <f t="shared" si="20"/>
        <v>544.4595</v>
      </c>
      <c r="Q43" s="45">
        <f t="shared" si="21"/>
        <v>620.94942</v>
      </c>
      <c r="R43" s="45">
        <f t="shared" si="22"/>
        <v>741.52728</v>
      </c>
    </row>
    <row r="44" spans="1:18" ht="12.75">
      <c r="A44" s="50">
        <v>2000</v>
      </c>
      <c r="B44" s="51">
        <v>2.62</v>
      </c>
      <c r="C44" s="51">
        <v>3.09</v>
      </c>
      <c r="D44" s="51">
        <v>3.56</v>
      </c>
      <c r="E44" s="51">
        <v>4.04</v>
      </c>
      <c r="F44" s="51">
        <v>4.5</v>
      </c>
      <c r="G44" s="48">
        <f t="shared" si="23"/>
        <v>41</v>
      </c>
      <c r="H44" s="45">
        <f t="shared" si="12"/>
        <v>35.2128</v>
      </c>
      <c r="I44" s="45">
        <f t="shared" si="13"/>
        <v>90.846</v>
      </c>
      <c r="J44" s="45">
        <f t="shared" si="14"/>
        <v>170.4528</v>
      </c>
      <c r="K44" s="45">
        <f t="shared" si="15"/>
        <v>194.37600000000003</v>
      </c>
      <c r="L44" s="45">
        <f t="shared" si="16"/>
        <v>248.7024</v>
      </c>
      <c r="M44" s="45">
        <f t="shared" si="17"/>
        <v>275.3664</v>
      </c>
      <c r="N44" s="45">
        <f t="shared" si="18"/>
        <v>330.6336</v>
      </c>
      <c r="O44" s="45">
        <f t="shared" si="19"/>
        <v>456.84</v>
      </c>
      <c r="P44" s="45">
        <f t="shared" si="20"/>
        <v>553.5</v>
      </c>
      <c r="Q44" s="45">
        <f t="shared" si="21"/>
        <v>631.26</v>
      </c>
      <c r="R44" s="45">
        <f t="shared" si="22"/>
        <v>753.84</v>
      </c>
    </row>
    <row r="45" spans="1:18" ht="12.75">
      <c r="A45" s="50">
        <v>2100</v>
      </c>
      <c r="B45" s="51">
        <v>2.6</v>
      </c>
      <c r="C45" s="51">
        <v>3.04</v>
      </c>
      <c r="D45" s="51">
        <v>3.5</v>
      </c>
      <c r="E45" s="51">
        <v>3.97</v>
      </c>
      <c r="F45" s="51">
        <v>4.43</v>
      </c>
      <c r="G45" s="48">
        <f t="shared" si="23"/>
        <v>42</v>
      </c>
      <c r="H45" s="45">
        <f t="shared" si="12"/>
        <v>36.6912</v>
      </c>
      <c r="I45" s="45">
        <f t="shared" si="13"/>
        <v>93.84479999999999</v>
      </c>
      <c r="J45" s="45">
        <f t="shared" si="14"/>
        <v>175.959</v>
      </c>
      <c r="K45" s="45">
        <f t="shared" si="15"/>
        <v>200.655</v>
      </c>
      <c r="L45" s="45">
        <f t="shared" si="16"/>
        <v>256.61286</v>
      </c>
      <c r="M45" s="45">
        <f t="shared" si="17"/>
        <v>284.12496</v>
      </c>
      <c r="N45" s="45">
        <f t="shared" si="18"/>
        <v>341.15004</v>
      </c>
      <c r="O45" s="45">
        <f t="shared" si="19"/>
        <v>472.22028</v>
      </c>
      <c r="P45" s="45">
        <f t="shared" si="20"/>
        <v>572.1345</v>
      </c>
      <c r="Q45" s="45">
        <f t="shared" si="21"/>
        <v>652.51242</v>
      </c>
      <c r="R45" s="45">
        <f t="shared" si="22"/>
        <v>779.21928</v>
      </c>
    </row>
    <row r="46" spans="1:18" ht="12.75">
      <c r="A46" s="50">
        <v>2200</v>
      </c>
      <c r="B46" s="51">
        <v>2.54</v>
      </c>
      <c r="C46" s="51">
        <v>2.99</v>
      </c>
      <c r="D46" s="51">
        <v>3.44</v>
      </c>
      <c r="E46" s="51">
        <v>3.91</v>
      </c>
      <c r="F46" s="51">
        <v>4.35</v>
      </c>
      <c r="G46" s="48">
        <f t="shared" si="23"/>
        <v>43</v>
      </c>
      <c r="H46" s="45">
        <f t="shared" si="12"/>
        <v>37.55136</v>
      </c>
      <c r="I46" s="45">
        <f t="shared" si="13"/>
        <v>96.69660000000002</v>
      </c>
      <c r="J46" s="45">
        <f t="shared" si="14"/>
        <v>181.17792</v>
      </c>
      <c r="K46" s="45">
        <f t="shared" si="15"/>
        <v>206.6064</v>
      </c>
      <c r="L46" s="45">
        <f t="shared" si="16"/>
        <v>264.76956</v>
      </c>
      <c r="M46" s="45">
        <f t="shared" si="17"/>
        <v>293.15616</v>
      </c>
      <c r="N46" s="45">
        <f t="shared" si="18"/>
        <v>351.99384</v>
      </c>
      <c r="O46" s="45">
        <f t="shared" si="19"/>
        <v>485.7732</v>
      </c>
      <c r="P46" s="45">
        <f t="shared" si="20"/>
        <v>588.555</v>
      </c>
      <c r="Q46" s="45">
        <f t="shared" si="21"/>
        <v>671.2398</v>
      </c>
      <c r="R46" s="45">
        <f t="shared" si="22"/>
        <v>801.5832</v>
      </c>
    </row>
    <row r="47" spans="1:18" ht="12.75">
      <c r="A47" s="50">
        <v>2300</v>
      </c>
      <c r="B47" s="51">
        <v>2.5</v>
      </c>
      <c r="C47" s="51">
        <v>2.94</v>
      </c>
      <c r="D47" s="51">
        <v>3.38</v>
      </c>
      <c r="E47" s="51">
        <v>3.84</v>
      </c>
      <c r="F47" s="51">
        <v>4.28</v>
      </c>
      <c r="G47" s="48">
        <f t="shared" si="23"/>
        <v>44</v>
      </c>
      <c r="H47" s="45">
        <f t="shared" si="12"/>
        <v>38.64</v>
      </c>
      <c r="I47" s="45">
        <f t="shared" si="13"/>
        <v>99.4014</v>
      </c>
      <c r="J47" s="45">
        <f t="shared" si="14"/>
        <v>186.10956000000002</v>
      </c>
      <c r="K47" s="45">
        <f t="shared" si="15"/>
        <v>212.2302</v>
      </c>
      <c r="L47" s="45">
        <f t="shared" si="16"/>
        <v>271.84896000000003</v>
      </c>
      <c r="M47" s="45">
        <f t="shared" si="17"/>
        <v>300.99456000000004</v>
      </c>
      <c r="N47" s="45">
        <f t="shared" si="18"/>
        <v>361.40544</v>
      </c>
      <c r="O47" s="45">
        <f t="shared" si="19"/>
        <v>499.68144</v>
      </c>
      <c r="P47" s="45">
        <f t="shared" si="20"/>
        <v>605.406</v>
      </c>
      <c r="Q47" s="45">
        <f t="shared" si="21"/>
        <v>690.45816</v>
      </c>
      <c r="R47" s="45">
        <f t="shared" si="22"/>
        <v>824.5334399999999</v>
      </c>
    </row>
    <row r="48" spans="1:18" ht="12.75">
      <c r="A48" s="50">
        <v>2400</v>
      </c>
      <c r="B48" s="51">
        <v>2.46</v>
      </c>
      <c r="C48" s="51">
        <v>2.89</v>
      </c>
      <c r="D48" s="51">
        <v>3.32</v>
      </c>
      <c r="E48" s="51">
        <v>3.77</v>
      </c>
      <c r="F48" s="51">
        <v>4.2</v>
      </c>
      <c r="G48" s="48">
        <f t="shared" si="23"/>
        <v>45</v>
      </c>
      <c r="H48" s="45">
        <f t="shared" si="12"/>
        <v>39.67488</v>
      </c>
      <c r="I48" s="45">
        <f t="shared" si="13"/>
        <v>101.9592</v>
      </c>
      <c r="J48" s="45">
        <f t="shared" si="14"/>
        <v>190.75392</v>
      </c>
      <c r="K48" s="45">
        <f t="shared" si="15"/>
        <v>217.5264</v>
      </c>
      <c r="L48" s="45">
        <f t="shared" si="16"/>
        <v>278.49744</v>
      </c>
      <c r="M48" s="45">
        <f t="shared" si="17"/>
        <v>308.35584</v>
      </c>
      <c r="N48" s="45">
        <f t="shared" si="18"/>
        <v>370.24415999999997</v>
      </c>
      <c r="O48" s="45">
        <f t="shared" si="19"/>
        <v>511.6608</v>
      </c>
      <c r="P48" s="45">
        <f t="shared" si="20"/>
        <v>619.92</v>
      </c>
      <c r="Q48" s="45">
        <f t="shared" si="21"/>
        <v>707.0111999999999</v>
      </c>
      <c r="R48" s="45">
        <f t="shared" si="22"/>
        <v>844.3008</v>
      </c>
    </row>
    <row r="49" spans="1:18" ht="12.75">
      <c r="A49" s="50">
        <v>2500</v>
      </c>
      <c r="B49" s="51">
        <v>2.42</v>
      </c>
      <c r="C49" s="51">
        <v>2.84</v>
      </c>
      <c r="D49" s="51">
        <v>3.27</v>
      </c>
      <c r="E49" s="51">
        <v>3.7</v>
      </c>
      <c r="F49" s="51">
        <v>4.12</v>
      </c>
      <c r="G49" s="48">
        <f t="shared" si="23"/>
        <v>46</v>
      </c>
      <c r="H49" s="45">
        <f t="shared" si="12"/>
        <v>40.656</v>
      </c>
      <c r="I49" s="45">
        <f t="shared" si="13"/>
        <v>104.37</v>
      </c>
      <c r="J49" s="45">
        <f t="shared" si="14"/>
        <v>195.70950000000002</v>
      </c>
      <c r="K49" s="45">
        <f t="shared" si="15"/>
        <v>223.1775</v>
      </c>
      <c r="L49" s="45">
        <f t="shared" si="16"/>
        <v>284.715</v>
      </c>
      <c r="M49" s="45">
        <f t="shared" si="17"/>
        <v>315.24</v>
      </c>
      <c r="N49" s="45">
        <f t="shared" si="18"/>
        <v>378.51</v>
      </c>
      <c r="O49" s="45">
        <f t="shared" si="19"/>
        <v>522.828</v>
      </c>
      <c r="P49" s="45">
        <f t="shared" si="20"/>
        <v>633.45</v>
      </c>
      <c r="Q49" s="45">
        <f t="shared" si="21"/>
        <v>722.442</v>
      </c>
      <c r="R49" s="45">
        <f t="shared" si="22"/>
        <v>862.7280000000001</v>
      </c>
    </row>
    <row r="50" spans="1:18" ht="12.75" hidden="1">
      <c r="A50" s="52">
        <v>2750</v>
      </c>
      <c r="B50" s="53">
        <f>B49+($A50-$A49)*(B55-B49)/($A55-$A49)</f>
        <v>2.375</v>
      </c>
      <c r="C50" s="53">
        <f>C49+($A50-$A49)*(C55-C49)/($A55-$A49)</f>
        <v>2.79</v>
      </c>
      <c r="D50" s="53">
        <f>D49+($A50-$A49)*(D55-D49)/($A55-$A49)</f>
        <v>3.205</v>
      </c>
      <c r="E50" s="53">
        <f>E49+($A50-$A49)*(E55-E49)/($A55-$A49)</f>
        <v>3.625</v>
      </c>
      <c r="F50" s="53">
        <f>F49+($A50-$A49)*(F55-F49)/($A55-$A49)</f>
        <v>4.035</v>
      </c>
      <c r="G50" s="48">
        <f t="shared" si="23"/>
        <v>47</v>
      </c>
      <c r="H50" s="45">
        <f t="shared" si="12"/>
        <v>43.89</v>
      </c>
      <c r="I50" s="45">
        <f t="shared" si="13"/>
        <v>112.78575000000001</v>
      </c>
      <c r="J50" s="45">
        <f t="shared" si="14"/>
        <v>211.001175</v>
      </c>
      <c r="K50" s="45">
        <f t="shared" si="15"/>
        <v>240.61537500000003</v>
      </c>
      <c r="L50" s="45">
        <f t="shared" si="16"/>
        <v>306.838125</v>
      </c>
      <c r="M50" s="45">
        <f t="shared" si="17"/>
        <v>339.735</v>
      </c>
      <c r="N50" s="45">
        <f t="shared" si="18"/>
        <v>407.92125</v>
      </c>
      <c r="O50" s="45">
        <f t="shared" si="19"/>
        <v>563.2456500000001</v>
      </c>
      <c r="P50" s="45">
        <f t="shared" si="20"/>
        <v>682.419375</v>
      </c>
      <c r="Q50" s="45">
        <f t="shared" si="21"/>
        <v>778.290975</v>
      </c>
      <c r="R50" s="45">
        <f t="shared" si="22"/>
        <v>929.4219</v>
      </c>
    </row>
    <row r="51" spans="1:18" s="49" customFormat="1" ht="12.75">
      <c r="A51" s="45">
        <v>2600</v>
      </c>
      <c r="B51" s="46">
        <v>2.4</v>
      </c>
      <c r="C51" s="46">
        <v>2.82</v>
      </c>
      <c r="D51" s="46">
        <v>3.25</v>
      </c>
      <c r="E51" s="46">
        <v>3.67</v>
      </c>
      <c r="F51" s="46">
        <v>4.09</v>
      </c>
      <c r="G51" s="48">
        <f t="shared" si="23"/>
        <v>48</v>
      </c>
      <c r="H51" s="45">
        <f t="shared" si="12"/>
        <v>41.9328</v>
      </c>
      <c r="I51" s="45">
        <f t="shared" si="13"/>
        <v>107.78040000000001</v>
      </c>
      <c r="J51" s="45">
        <f t="shared" si="14"/>
        <v>202.293</v>
      </c>
      <c r="K51" s="45">
        <f t="shared" si="15"/>
        <v>230.685</v>
      </c>
      <c r="L51" s="45">
        <f t="shared" si="16"/>
        <v>293.70276</v>
      </c>
      <c r="M51" s="45">
        <f t="shared" si="17"/>
        <v>325.19136000000003</v>
      </c>
      <c r="N51" s="45">
        <f t="shared" si="18"/>
        <v>390.45864</v>
      </c>
      <c r="O51" s="45">
        <f t="shared" si="19"/>
        <v>539.78184</v>
      </c>
      <c r="P51" s="45">
        <f t="shared" si="20"/>
        <v>653.991</v>
      </c>
      <c r="Q51" s="45">
        <f t="shared" si="21"/>
        <v>745.8687600000001</v>
      </c>
      <c r="R51" s="45">
        <f t="shared" si="22"/>
        <v>890.70384</v>
      </c>
    </row>
    <row r="52" spans="1:18" s="49" customFormat="1" ht="12.75">
      <c r="A52" s="45">
        <v>2700</v>
      </c>
      <c r="B52" s="46">
        <v>2.38</v>
      </c>
      <c r="C52" s="46">
        <v>2.8</v>
      </c>
      <c r="D52" s="46">
        <v>3.22</v>
      </c>
      <c r="E52" s="46">
        <v>3.64</v>
      </c>
      <c r="F52" s="46">
        <v>4.05</v>
      </c>
      <c r="G52" s="48">
        <f t="shared" si="23"/>
        <v>49</v>
      </c>
      <c r="H52" s="45">
        <f t="shared" si="12"/>
        <v>43.182719999999996</v>
      </c>
      <c r="I52" s="45">
        <f t="shared" si="13"/>
        <v>111.13199999999999</v>
      </c>
      <c r="J52" s="45">
        <f t="shared" si="14"/>
        <v>208.13436000000002</v>
      </c>
      <c r="K52" s="45">
        <f t="shared" si="15"/>
        <v>237.34619999999998</v>
      </c>
      <c r="L52" s="45">
        <f t="shared" si="16"/>
        <v>302.50584</v>
      </c>
      <c r="M52" s="45">
        <f t="shared" si="17"/>
        <v>334.93824</v>
      </c>
      <c r="N52" s="45">
        <f t="shared" si="18"/>
        <v>402.16176</v>
      </c>
      <c r="O52" s="45">
        <f t="shared" si="19"/>
        <v>555.0606</v>
      </c>
      <c r="P52" s="45">
        <f t="shared" si="20"/>
        <v>672.5025</v>
      </c>
      <c r="Q52" s="45">
        <f t="shared" si="21"/>
        <v>766.9809</v>
      </c>
      <c r="R52" s="45">
        <f t="shared" si="22"/>
        <v>915.9155999999999</v>
      </c>
    </row>
    <row r="53" spans="1:18" s="49" customFormat="1" ht="12.75">
      <c r="A53" s="45">
        <v>2800</v>
      </c>
      <c r="B53" s="46">
        <v>2.37</v>
      </c>
      <c r="C53" s="46">
        <v>2.78</v>
      </c>
      <c r="D53" s="46">
        <v>3.2</v>
      </c>
      <c r="E53" s="46">
        <v>3.61</v>
      </c>
      <c r="F53" s="46">
        <v>4.02</v>
      </c>
      <c r="G53" s="48">
        <f t="shared" si="23"/>
        <v>50</v>
      </c>
      <c r="H53" s="45">
        <f t="shared" si="12"/>
        <v>44.59392</v>
      </c>
      <c r="I53" s="45">
        <f t="shared" si="13"/>
        <v>114.42479999999999</v>
      </c>
      <c r="J53" s="45">
        <f t="shared" si="14"/>
        <v>214.50240000000002</v>
      </c>
      <c r="K53" s="45">
        <f t="shared" si="15"/>
        <v>244.608</v>
      </c>
      <c r="L53" s="45">
        <f t="shared" si="16"/>
        <v>311.12424</v>
      </c>
      <c r="M53" s="45">
        <f t="shared" si="17"/>
        <v>344.48064</v>
      </c>
      <c r="N53" s="45">
        <f t="shared" si="18"/>
        <v>413.61936000000003</v>
      </c>
      <c r="O53" s="45">
        <f t="shared" si="19"/>
        <v>571.3545599999999</v>
      </c>
      <c r="P53" s="45">
        <f t="shared" si="20"/>
        <v>692.2439999999999</v>
      </c>
      <c r="Q53" s="45">
        <f t="shared" si="21"/>
        <v>789.4958399999999</v>
      </c>
      <c r="R53" s="45">
        <f t="shared" si="22"/>
        <v>942.80256</v>
      </c>
    </row>
    <row r="54" spans="1:18" s="49" customFormat="1" ht="12.75">
      <c r="A54" s="45">
        <v>2900</v>
      </c>
      <c r="B54" s="46">
        <v>2.35</v>
      </c>
      <c r="C54" s="46">
        <v>2.76</v>
      </c>
      <c r="D54" s="46">
        <v>3.17</v>
      </c>
      <c r="E54" s="46">
        <v>3.58</v>
      </c>
      <c r="F54" s="46">
        <v>3.98</v>
      </c>
      <c r="G54" s="48">
        <f t="shared" si="23"/>
        <v>51</v>
      </c>
      <c r="H54" s="45">
        <f t="shared" si="12"/>
        <v>45.796800000000005</v>
      </c>
      <c r="I54" s="45">
        <f t="shared" si="13"/>
        <v>117.65879999999999</v>
      </c>
      <c r="J54" s="45">
        <f t="shared" si="14"/>
        <v>220.08042</v>
      </c>
      <c r="K54" s="45">
        <f t="shared" si="15"/>
        <v>250.9689</v>
      </c>
      <c r="L54" s="45">
        <f t="shared" si="16"/>
        <v>319.55796000000004</v>
      </c>
      <c r="M54" s="45">
        <f t="shared" si="17"/>
        <v>353.81856</v>
      </c>
      <c r="N54" s="45">
        <f t="shared" si="18"/>
        <v>424.83144</v>
      </c>
      <c r="O54" s="45">
        <f t="shared" si="19"/>
        <v>585.87192</v>
      </c>
      <c r="P54" s="45">
        <f t="shared" si="20"/>
        <v>709.8330000000001</v>
      </c>
      <c r="Q54" s="45">
        <f t="shared" si="21"/>
        <v>809.55588</v>
      </c>
      <c r="R54" s="45">
        <f t="shared" si="22"/>
        <v>966.75792</v>
      </c>
    </row>
    <row r="55" spans="1:18" ht="12.75">
      <c r="A55" s="50">
        <v>3000</v>
      </c>
      <c r="B55" s="51">
        <v>2.33</v>
      </c>
      <c r="C55" s="51">
        <v>2.74</v>
      </c>
      <c r="D55" s="51">
        <v>3.14</v>
      </c>
      <c r="E55" s="51">
        <v>3.55</v>
      </c>
      <c r="F55" s="51">
        <v>3.95</v>
      </c>
      <c r="G55" s="48">
        <f t="shared" si="23"/>
        <v>52</v>
      </c>
      <c r="H55" s="45">
        <f t="shared" si="12"/>
        <v>46.9728</v>
      </c>
      <c r="I55" s="45">
        <f t="shared" si="13"/>
        <v>120.834</v>
      </c>
      <c r="J55" s="45">
        <f t="shared" si="14"/>
        <v>225.5148</v>
      </c>
      <c r="K55" s="45">
        <f t="shared" si="15"/>
        <v>257.166</v>
      </c>
      <c r="L55" s="45">
        <f t="shared" si="16"/>
        <v>327.80699999999996</v>
      </c>
      <c r="M55" s="45">
        <f t="shared" si="17"/>
        <v>362.95200000000006</v>
      </c>
      <c r="N55" s="45">
        <f t="shared" si="18"/>
        <v>435.798</v>
      </c>
      <c r="O55" s="45">
        <f t="shared" si="19"/>
        <v>601.506</v>
      </c>
      <c r="P55" s="45">
        <f t="shared" si="20"/>
        <v>728.775</v>
      </c>
      <c r="Q55" s="45">
        <f t="shared" si="21"/>
        <v>831.1590000000001</v>
      </c>
      <c r="R55" s="45">
        <f t="shared" si="22"/>
        <v>992.556</v>
      </c>
    </row>
    <row r="56" spans="1:18" ht="12.75">
      <c r="A56" s="50">
        <v>3100</v>
      </c>
      <c r="B56" s="51">
        <v>2.32</v>
      </c>
      <c r="C56" s="51">
        <v>2.72</v>
      </c>
      <c r="D56" s="51">
        <v>3.12</v>
      </c>
      <c r="E56" s="51">
        <v>3.52</v>
      </c>
      <c r="F56" s="51">
        <v>3.91</v>
      </c>
      <c r="G56" s="48">
        <f t="shared" si="23"/>
        <v>53</v>
      </c>
      <c r="H56" s="45">
        <f t="shared" si="12"/>
        <v>48.330239999999996</v>
      </c>
      <c r="I56" s="45">
        <f t="shared" si="13"/>
        <v>123.9504</v>
      </c>
      <c r="J56" s="45">
        <f t="shared" si="14"/>
        <v>231.54768</v>
      </c>
      <c r="K56" s="45">
        <f t="shared" si="15"/>
        <v>264.04560000000004</v>
      </c>
      <c r="L56" s="45">
        <f t="shared" si="16"/>
        <v>335.87136</v>
      </c>
      <c r="M56" s="45">
        <f t="shared" si="17"/>
        <v>371.88095999999996</v>
      </c>
      <c r="N56" s="45">
        <f t="shared" si="18"/>
        <v>446.51904</v>
      </c>
      <c r="O56" s="45">
        <f t="shared" si="19"/>
        <v>615.26196</v>
      </c>
      <c r="P56" s="45">
        <f t="shared" si="20"/>
        <v>745.4415000000001</v>
      </c>
      <c r="Q56" s="45">
        <f t="shared" si="21"/>
        <v>850.1669400000001</v>
      </c>
      <c r="R56" s="45">
        <f t="shared" si="22"/>
        <v>1015.25496</v>
      </c>
    </row>
    <row r="57" spans="1:18" ht="12.75">
      <c r="A57" s="50">
        <v>3200</v>
      </c>
      <c r="B57" s="51">
        <v>2.3</v>
      </c>
      <c r="C57" s="51">
        <v>2.7</v>
      </c>
      <c r="D57" s="51">
        <v>3.09</v>
      </c>
      <c r="E57" s="51">
        <v>3.49</v>
      </c>
      <c r="F57" s="51">
        <v>3.88</v>
      </c>
      <c r="G57" s="48">
        <f t="shared" si="23"/>
        <v>54</v>
      </c>
      <c r="H57" s="45">
        <f t="shared" si="12"/>
        <v>49.45919999999999</v>
      </c>
      <c r="I57" s="45">
        <f t="shared" si="13"/>
        <v>127.00800000000001</v>
      </c>
      <c r="J57" s="45">
        <f t="shared" si="14"/>
        <v>236.71872</v>
      </c>
      <c r="K57" s="45">
        <f t="shared" si="15"/>
        <v>269.9424</v>
      </c>
      <c r="L57" s="45">
        <f t="shared" si="16"/>
        <v>343.75104</v>
      </c>
      <c r="M57" s="45">
        <f t="shared" si="17"/>
        <v>380.60544000000004</v>
      </c>
      <c r="N57" s="45">
        <f t="shared" si="18"/>
        <v>456.99456</v>
      </c>
      <c r="O57" s="45">
        <f t="shared" si="19"/>
        <v>630.23616</v>
      </c>
      <c r="P57" s="45">
        <f t="shared" si="20"/>
        <v>763.5840000000001</v>
      </c>
      <c r="Q57" s="45">
        <f t="shared" si="21"/>
        <v>870.85824</v>
      </c>
      <c r="R57" s="45">
        <f t="shared" si="22"/>
        <v>1039.96416</v>
      </c>
    </row>
    <row r="58" spans="1:18" ht="12.75">
      <c r="A58" s="50">
        <v>3300</v>
      </c>
      <c r="B58" s="51">
        <v>2.28</v>
      </c>
      <c r="C58" s="51">
        <v>2.68</v>
      </c>
      <c r="D58" s="51">
        <v>3.07</v>
      </c>
      <c r="E58" s="51">
        <v>3.46</v>
      </c>
      <c r="F58" s="51">
        <v>3.84</v>
      </c>
      <c r="G58" s="48">
        <f t="shared" si="23"/>
        <v>55</v>
      </c>
      <c r="H58" s="45">
        <f t="shared" si="12"/>
        <v>50.56128</v>
      </c>
      <c r="I58" s="45">
        <f t="shared" si="13"/>
        <v>130.0068</v>
      </c>
      <c r="J58" s="45">
        <f t="shared" si="14"/>
        <v>242.53614000000002</v>
      </c>
      <c r="K58" s="45">
        <f t="shared" si="15"/>
        <v>276.5763</v>
      </c>
      <c r="L58" s="45">
        <f t="shared" si="16"/>
        <v>351.44604</v>
      </c>
      <c r="M58" s="45">
        <f t="shared" si="17"/>
        <v>389.12544</v>
      </c>
      <c r="N58" s="45">
        <f t="shared" si="18"/>
        <v>467.22456</v>
      </c>
      <c r="O58" s="45">
        <f t="shared" si="19"/>
        <v>643.23072</v>
      </c>
      <c r="P58" s="45">
        <f t="shared" si="20"/>
        <v>779.328</v>
      </c>
      <c r="Q58" s="45">
        <f t="shared" si="21"/>
        <v>888.81408</v>
      </c>
      <c r="R58" s="45">
        <f t="shared" si="22"/>
        <v>1061.40672</v>
      </c>
    </row>
    <row r="59" spans="1:18" ht="12.75">
      <c r="A59" s="50">
        <v>3400</v>
      </c>
      <c r="B59" s="51">
        <v>2.26</v>
      </c>
      <c r="C59" s="51">
        <v>2.66</v>
      </c>
      <c r="D59" s="51">
        <v>3.04</v>
      </c>
      <c r="E59" s="51">
        <v>3.43</v>
      </c>
      <c r="F59" s="51">
        <v>3.81</v>
      </c>
      <c r="G59" s="48">
        <f t="shared" si="23"/>
        <v>56</v>
      </c>
      <c r="H59" s="45">
        <f t="shared" si="12"/>
        <v>51.63647999999999</v>
      </c>
      <c r="I59" s="45">
        <f t="shared" si="13"/>
        <v>132.9468</v>
      </c>
      <c r="J59" s="45">
        <f t="shared" si="14"/>
        <v>247.44384000000002</v>
      </c>
      <c r="K59" s="45">
        <f t="shared" si="15"/>
        <v>282.1728</v>
      </c>
      <c r="L59" s="45">
        <f t="shared" si="16"/>
        <v>358.95635999999996</v>
      </c>
      <c r="M59" s="45">
        <f t="shared" si="17"/>
        <v>397.44095999999996</v>
      </c>
      <c r="N59" s="45">
        <f t="shared" si="18"/>
        <v>477.20904</v>
      </c>
      <c r="O59" s="45">
        <f t="shared" si="19"/>
        <v>657.54504</v>
      </c>
      <c r="P59" s="45">
        <f t="shared" si="20"/>
        <v>796.671</v>
      </c>
      <c r="Q59" s="45">
        <f t="shared" si="21"/>
        <v>908.59356</v>
      </c>
      <c r="R59" s="45">
        <f t="shared" si="22"/>
        <v>1085.02704</v>
      </c>
    </row>
    <row r="60" spans="1:18" ht="12.75">
      <c r="A60" s="50">
        <v>3500</v>
      </c>
      <c r="B60" s="51">
        <v>2.25</v>
      </c>
      <c r="C60" s="51">
        <v>2.63</v>
      </c>
      <c r="D60" s="51">
        <v>3.01</v>
      </c>
      <c r="E60" s="51">
        <v>3.4</v>
      </c>
      <c r="F60" s="51">
        <v>3.77</v>
      </c>
      <c r="G60" s="48">
        <f t="shared" si="23"/>
        <v>57</v>
      </c>
      <c r="H60" s="45">
        <f t="shared" si="12"/>
        <v>52.92</v>
      </c>
      <c r="I60" s="45">
        <f t="shared" si="13"/>
        <v>135.3135</v>
      </c>
      <c r="J60" s="45">
        <f t="shared" si="14"/>
        <v>252.2079</v>
      </c>
      <c r="K60" s="45">
        <f t="shared" si="15"/>
        <v>287.6055</v>
      </c>
      <c r="L60" s="45">
        <f t="shared" si="16"/>
        <v>366.28200000000004</v>
      </c>
      <c r="M60" s="45">
        <f t="shared" si="17"/>
        <v>405.552</v>
      </c>
      <c r="N60" s="45">
        <f t="shared" si="18"/>
        <v>486.94800000000004</v>
      </c>
      <c r="O60" s="45">
        <f t="shared" si="19"/>
        <v>669.7782000000001</v>
      </c>
      <c r="P60" s="45">
        <f t="shared" si="20"/>
        <v>811.4925</v>
      </c>
      <c r="Q60" s="45">
        <f t="shared" si="21"/>
        <v>925.4973</v>
      </c>
      <c r="R60" s="45">
        <f t="shared" si="22"/>
        <v>1105.2132000000001</v>
      </c>
    </row>
    <row r="61" spans="1:18" ht="12.75">
      <c r="A61" s="50">
        <v>3600</v>
      </c>
      <c r="B61" s="51">
        <v>2.23</v>
      </c>
      <c r="C61" s="51">
        <v>2.61</v>
      </c>
      <c r="D61" s="51">
        <v>2.99</v>
      </c>
      <c r="E61" s="51">
        <v>3.37</v>
      </c>
      <c r="F61" s="51">
        <v>3.74</v>
      </c>
      <c r="G61" s="48">
        <f t="shared" si="23"/>
        <v>58</v>
      </c>
      <c r="H61" s="45">
        <f t="shared" si="12"/>
        <v>53.94816</v>
      </c>
      <c r="I61" s="45">
        <f t="shared" si="13"/>
        <v>138.12120000000002</v>
      </c>
      <c r="J61" s="45">
        <f t="shared" si="14"/>
        <v>257.69016</v>
      </c>
      <c r="K61" s="45">
        <f t="shared" si="15"/>
        <v>293.85720000000003</v>
      </c>
      <c r="L61" s="45">
        <f t="shared" si="16"/>
        <v>373.42296000000005</v>
      </c>
      <c r="M61" s="45">
        <f t="shared" si="17"/>
        <v>413.45856</v>
      </c>
      <c r="N61" s="45">
        <f t="shared" si="18"/>
        <v>496.44144</v>
      </c>
      <c r="O61" s="45">
        <f t="shared" si="19"/>
        <v>683.43264</v>
      </c>
      <c r="P61" s="45">
        <f t="shared" si="20"/>
        <v>828.0360000000001</v>
      </c>
      <c r="Q61" s="45">
        <f t="shared" si="21"/>
        <v>944.36496</v>
      </c>
      <c r="R61" s="45">
        <f t="shared" si="22"/>
        <v>1127.7446400000001</v>
      </c>
    </row>
    <row r="62" spans="1:18" ht="12.75">
      <c r="A62" s="50">
        <v>3700</v>
      </c>
      <c r="B62" s="51">
        <v>2.21</v>
      </c>
      <c r="C62" s="51">
        <v>2.59</v>
      </c>
      <c r="D62" s="51">
        <v>2.96</v>
      </c>
      <c r="E62" s="51">
        <v>3.34</v>
      </c>
      <c r="F62" s="51">
        <v>3.7</v>
      </c>
      <c r="G62" s="48">
        <f t="shared" si="23"/>
        <v>59</v>
      </c>
      <c r="H62" s="45">
        <f t="shared" si="12"/>
        <v>54.94944</v>
      </c>
      <c r="I62" s="45">
        <f t="shared" si="13"/>
        <v>140.8701</v>
      </c>
      <c r="J62" s="45">
        <f t="shared" si="14"/>
        <v>262.19088</v>
      </c>
      <c r="K62" s="45">
        <f t="shared" si="15"/>
        <v>298.9896</v>
      </c>
      <c r="L62" s="45">
        <f t="shared" si="16"/>
        <v>380.37924</v>
      </c>
      <c r="M62" s="45">
        <f t="shared" si="17"/>
        <v>421.16064</v>
      </c>
      <c r="N62" s="45">
        <f t="shared" si="18"/>
        <v>505.68936</v>
      </c>
      <c r="O62" s="45">
        <f t="shared" si="19"/>
        <v>694.9044</v>
      </c>
      <c r="P62" s="45">
        <f t="shared" si="20"/>
        <v>841.935</v>
      </c>
      <c r="Q62" s="45">
        <f t="shared" si="21"/>
        <v>960.2166000000001</v>
      </c>
      <c r="R62" s="45">
        <f t="shared" si="22"/>
        <v>1146.6744</v>
      </c>
    </row>
    <row r="63" spans="1:18" ht="12.75">
      <c r="A63" s="50">
        <v>3800</v>
      </c>
      <c r="B63" s="51">
        <v>2.2</v>
      </c>
      <c r="C63" s="51">
        <v>2.57</v>
      </c>
      <c r="D63" s="51">
        <v>2.94</v>
      </c>
      <c r="E63" s="51">
        <v>3.3</v>
      </c>
      <c r="F63" s="51">
        <v>3.67</v>
      </c>
      <c r="G63" s="48">
        <f t="shared" si="23"/>
        <v>60</v>
      </c>
      <c r="H63" s="45">
        <f t="shared" si="12"/>
        <v>56.1792</v>
      </c>
      <c r="I63" s="45">
        <f t="shared" si="13"/>
        <v>143.5602</v>
      </c>
      <c r="J63" s="45">
        <f t="shared" si="14"/>
        <v>267.45768</v>
      </c>
      <c r="K63" s="45">
        <f t="shared" si="15"/>
        <v>304.9956</v>
      </c>
      <c r="L63" s="45">
        <f t="shared" si="16"/>
        <v>385.9812</v>
      </c>
      <c r="M63" s="45">
        <f t="shared" si="17"/>
        <v>427.3632</v>
      </c>
      <c r="N63" s="45">
        <f t="shared" si="18"/>
        <v>513.1368</v>
      </c>
      <c r="O63" s="45">
        <f t="shared" si="19"/>
        <v>707.8989600000001</v>
      </c>
      <c r="P63" s="45">
        <f t="shared" si="20"/>
        <v>857.6790000000001</v>
      </c>
      <c r="Q63" s="45">
        <f t="shared" si="21"/>
        <v>978.17244</v>
      </c>
      <c r="R63" s="45">
        <f t="shared" si="22"/>
        <v>1168.11696</v>
      </c>
    </row>
    <row r="64" spans="1:18" ht="12.75">
      <c r="A64" s="50">
        <v>3900</v>
      </c>
      <c r="B64" s="51">
        <v>2.18</v>
      </c>
      <c r="C64" s="51">
        <v>2.55</v>
      </c>
      <c r="D64" s="51">
        <v>2.91</v>
      </c>
      <c r="E64" s="51">
        <v>3.27</v>
      </c>
      <c r="F64" s="51">
        <v>3.63</v>
      </c>
      <c r="G64" s="48">
        <f t="shared" si="23"/>
        <v>61</v>
      </c>
      <c r="H64" s="45">
        <f t="shared" si="12"/>
        <v>57.13344</v>
      </c>
      <c r="I64" s="45">
        <f t="shared" si="13"/>
        <v>146.1915</v>
      </c>
      <c r="J64" s="45">
        <f t="shared" si="14"/>
        <v>271.69506</v>
      </c>
      <c r="K64" s="45">
        <f t="shared" si="15"/>
        <v>309.8277</v>
      </c>
      <c r="L64" s="45">
        <f t="shared" si="16"/>
        <v>392.53734000000003</v>
      </c>
      <c r="M64" s="45">
        <f t="shared" si="17"/>
        <v>434.62224000000003</v>
      </c>
      <c r="N64" s="45">
        <f t="shared" si="18"/>
        <v>521.85276</v>
      </c>
      <c r="O64" s="45">
        <f t="shared" si="19"/>
        <v>718.60932</v>
      </c>
      <c r="P64" s="45">
        <f t="shared" si="20"/>
        <v>870.6555000000001</v>
      </c>
      <c r="Q64" s="45">
        <f t="shared" si="21"/>
        <v>992.97198</v>
      </c>
      <c r="R64" s="45">
        <f t="shared" si="22"/>
        <v>1185.79032</v>
      </c>
    </row>
    <row r="65" spans="1:18" ht="12.75">
      <c r="A65" s="50">
        <v>4000</v>
      </c>
      <c r="B65" s="51">
        <v>2.16</v>
      </c>
      <c r="C65" s="51">
        <v>2.53</v>
      </c>
      <c r="D65" s="51">
        <v>2.88</v>
      </c>
      <c r="E65" s="51">
        <v>3.24</v>
      </c>
      <c r="F65" s="51">
        <v>3.6</v>
      </c>
      <c r="G65" s="48">
        <f t="shared" si="23"/>
        <v>62</v>
      </c>
      <c r="H65" s="45">
        <f t="shared" si="12"/>
        <v>58.0608</v>
      </c>
      <c r="I65" s="45">
        <f t="shared" si="13"/>
        <v>148.764</v>
      </c>
      <c r="J65" s="45">
        <f t="shared" si="14"/>
        <v>275.78880000000004</v>
      </c>
      <c r="K65" s="45">
        <f t="shared" si="15"/>
        <v>314.49600000000004</v>
      </c>
      <c r="L65" s="45">
        <f t="shared" si="16"/>
        <v>398.9088</v>
      </c>
      <c r="M65" s="45">
        <f t="shared" si="17"/>
        <v>441.6768</v>
      </c>
      <c r="N65" s="45">
        <f t="shared" si="18"/>
        <v>530.3232</v>
      </c>
      <c r="O65" s="45">
        <f t="shared" si="19"/>
        <v>730.9440000000001</v>
      </c>
      <c r="P65" s="45">
        <f t="shared" si="20"/>
        <v>885.6</v>
      </c>
      <c r="Q65" s="45">
        <f t="shared" si="21"/>
        <v>1010.0160000000001</v>
      </c>
      <c r="R65" s="45">
        <f t="shared" si="22"/>
        <v>1206.144</v>
      </c>
    </row>
    <row r="66" spans="1:18" ht="12.75">
      <c r="A66" s="50">
        <v>4100</v>
      </c>
      <c r="B66" s="51">
        <v>2.15</v>
      </c>
      <c r="C66" s="51">
        <v>2.51</v>
      </c>
      <c r="D66" s="51">
        <v>2.86</v>
      </c>
      <c r="E66" s="51">
        <v>3.21</v>
      </c>
      <c r="F66" s="51">
        <v>3.56</v>
      </c>
      <c r="G66" s="48">
        <f t="shared" si="23"/>
        <v>63</v>
      </c>
      <c r="H66" s="45">
        <f t="shared" si="12"/>
        <v>59.2368</v>
      </c>
      <c r="I66" s="45">
        <f t="shared" si="13"/>
        <v>151.2777</v>
      </c>
      <c r="J66" s="45">
        <f t="shared" si="14"/>
        <v>280.72044</v>
      </c>
      <c r="K66" s="45">
        <f t="shared" si="15"/>
        <v>320.1198</v>
      </c>
      <c r="L66" s="45">
        <f t="shared" si="16"/>
        <v>405.09558</v>
      </c>
      <c r="M66" s="45">
        <f t="shared" si="17"/>
        <v>448.52688</v>
      </c>
      <c r="N66" s="45">
        <f t="shared" si="18"/>
        <v>538.5481199999999</v>
      </c>
      <c r="O66" s="45">
        <f t="shared" si="19"/>
        <v>740.89296</v>
      </c>
      <c r="P66" s="45">
        <f t="shared" si="20"/>
        <v>897.6540000000001</v>
      </c>
      <c r="Q66" s="45">
        <f t="shared" si="21"/>
        <v>1023.76344</v>
      </c>
      <c r="R66" s="45">
        <f t="shared" si="22"/>
        <v>1222.56096</v>
      </c>
    </row>
    <row r="67" spans="1:18" ht="12.75">
      <c r="A67" s="50">
        <v>4200</v>
      </c>
      <c r="B67" s="51">
        <v>2.13</v>
      </c>
      <c r="C67" s="51">
        <v>2.48</v>
      </c>
      <c r="D67" s="51">
        <v>2.83</v>
      </c>
      <c r="E67" s="51">
        <v>3.18</v>
      </c>
      <c r="F67" s="51">
        <v>3.53</v>
      </c>
      <c r="G67" s="48">
        <f t="shared" si="23"/>
        <v>64</v>
      </c>
      <c r="H67" s="45">
        <f t="shared" si="12"/>
        <v>60.11712000000001</v>
      </c>
      <c r="I67" s="45">
        <f t="shared" si="13"/>
        <v>153.11520000000002</v>
      </c>
      <c r="J67" s="45">
        <f t="shared" si="14"/>
        <v>284.55084</v>
      </c>
      <c r="K67" s="45">
        <f t="shared" si="15"/>
        <v>324.48780000000005</v>
      </c>
      <c r="L67" s="45">
        <f t="shared" si="16"/>
        <v>411.09768</v>
      </c>
      <c r="M67" s="45">
        <f t="shared" si="17"/>
        <v>455.17248</v>
      </c>
      <c r="N67" s="45">
        <f t="shared" si="18"/>
        <v>546.52752</v>
      </c>
      <c r="O67" s="45">
        <f t="shared" si="19"/>
        <v>752.56776</v>
      </c>
      <c r="P67" s="45">
        <f t="shared" si="20"/>
        <v>911.7990000000001</v>
      </c>
      <c r="Q67" s="45">
        <f t="shared" si="21"/>
        <v>1039.89564</v>
      </c>
      <c r="R67" s="45">
        <f t="shared" si="22"/>
        <v>1241.82576</v>
      </c>
    </row>
    <row r="68" spans="1:18" ht="12.75">
      <c r="A68" s="50">
        <v>4300</v>
      </c>
      <c r="B68" s="51">
        <v>2.12</v>
      </c>
      <c r="C68" s="51">
        <v>2.46</v>
      </c>
      <c r="D68" s="51">
        <v>2.81</v>
      </c>
      <c r="E68" s="51">
        <v>3.15</v>
      </c>
      <c r="F68" s="51">
        <v>3.49</v>
      </c>
      <c r="G68" s="48">
        <f t="shared" si="23"/>
        <v>65</v>
      </c>
      <c r="H68" s="45">
        <f t="shared" si="12"/>
        <v>61.25952</v>
      </c>
      <c r="I68" s="45">
        <f t="shared" si="13"/>
        <v>155.4966</v>
      </c>
      <c r="J68" s="45">
        <f t="shared" si="14"/>
        <v>289.26702</v>
      </c>
      <c r="K68" s="45">
        <f t="shared" si="15"/>
        <v>329.8659</v>
      </c>
      <c r="L68" s="45">
        <f t="shared" si="16"/>
        <v>416.9151</v>
      </c>
      <c r="M68" s="45">
        <f t="shared" si="17"/>
        <v>461.6136</v>
      </c>
      <c r="N68" s="45">
        <f t="shared" si="18"/>
        <v>554.2614</v>
      </c>
      <c r="O68" s="45">
        <f t="shared" si="19"/>
        <v>761.7553200000001</v>
      </c>
      <c r="P68" s="45">
        <f t="shared" si="20"/>
        <v>922.9305000000002</v>
      </c>
      <c r="Q68" s="45">
        <f t="shared" si="21"/>
        <v>1052.5909800000002</v>
      </c>
      <c r="R68" s="45">
        <f t="shared" si="22"/>
        <v>1256.9863200000002</v>
      </c>
    </row>
    <row r="69" spans="1:18" ht="12.75">
      <c r="A69" s="50">
        <v>4400</v>
      </c>
      <c r="B69" s="51">
        <v>2.11</v>
      </c>
      <c r="C69" s="51">
        <v>2.44</v>
      </c>
      <c r="D69" s="51">
        <v>2.78</v>
      </c>
      <c r="E69" s="51">
        <v>3.13</v>
      </c>
      <c r="F69" s="51">
        <v>3.46</v>
      </c>
      <c r="G69" s="48">
        <f t="shared" si="23"/>
        <v>66</v>
      </c>
      <c r="H69" s="45">
        <f aca="true" t="shared" si="24" ref="H69:H100">$A69*$B69*H$2*$C$133*$J$134*$J$135*$J$136/100</f>
        <v>62.38848</v>
      </c>
      <c r="I69" s="45">
        <f aca="true" t="shared" si="25" ref="I69:I100">$A69*$C69*$I$2*$C$133*$J$134*$J$135*$J$136/100</f>
        <v>157.8192</v>
      </c>
      <c r="J69" s="45">
        <f aca="true" t="shared" si="26" ref="J69:J100">$A69*$D69*$J$2*$C$133*$J$134*$J$135*$J$136/100</f>
        <v>292.83408</v>
      </c>
      <c r="K69" s="45">
        <f aca="true" t="shared" si="27" ref="K69:K100">$A69*$D69*$K$2*$C$133*$J$134*$J$135*$J$136/100</f>
        <v>333.9336</v>
      </c>
      <c r="L69" s="45">
        <f aca="true" t="shared" si="28" ref="L69:L100">$A69*$E69*$L$2*$C$133*$J$134*$J$135*$J$136/100</f>
        <v>423.90216</v>
      </c>
      <c r="M69" s="45">
        <f aca="true" t="shared" si="29" ref="M69:M100">$A69*$E69*$M$2*$C$133*$J$134*$J$135*$J$136/100</f>
        <v>469.34976</v>
      </c>
      <c r="N69" s="45">
        <f aca="true" t="shared" si="30" ref="N69:N100">$A69*$E69*$N$2*$C$133*$J$134*$J$135*$J$136/100</f>
        <v>563.55024</v>
      </c>
      <c r="O69" s="45">
        <f aca="true" t="shared" si="31" ref="O69:O100">$A69*$F69*$O$2*$C$133*$J$134*$J$135*$J$136/100</f>
        <v>772.7702400000001</v>
      </c>
      <c r="P69" s="45">
        <f aca="true" t="shared" si="32" ref="P69:P100">$A69*$F69*$P$2*$C$133*$J$134*$J$135*$J$136/100</f>
        <v>936.2760000000001</v>
      </c>
      <c r="Q69" s="45">
        <f aca="true" t="shared" si="33" ref="Q69:Q100">$A69*$F69*$Q$2*$C$133*$J$134*$J$135*$J$136/100</f>
        <v>1067.81136</v>
      </c>
      <c r="R69" s="45">
        <f aca="true" t="shared" si="34" ref="R69:R100">$A69*$F69*$R$2*$C$133*$J$134*$J$135*$J$136/100</f>
        <v>1275.16224</v>
      </c>
    </row>
    <row r="70" spans="1:18" ht="12.75">
      <c r="A70" s="50">
        <v>4500</v>
      </c>
      <c r="B70" s="51">
        <v>2.09</v>
      </c>
      <c r="C70" s="51">
        <v>2.42</v>
      </c>
      <c r="D70" s="51">
        <v>2.75</v>
      </c>
      <c r="E70" s="51">
        <v>3.09</v>
      </c>
      <c r="F70" s="51">
        <v>3.42</v>
      </c>
      <c r="G70" s="48">
        <f aca="true" t="shared" si="35" ref="G70:G101">G69+1</f>
        <v>67</v>
      </c>
      <c r="H70" s="45">
        <f t="shared" si="24"/>
        <v>63.2016</v>
      </c>
      <c r="I70" s="45">
        <f t="shared" si="25"/>
        <v>160.083</v>
      </c>
      <c r="J70" s="45">
        <f t="shared" si="26"/>
        <v>296.2575</v>
      </c>
      <c r="K70" s="45">
        <f t="shared" si="27"/>
        <v>337.8375</v>
      </c>
      <c r="L70" s="45">
        <f t="shared" si="28"/>
        <v>427.99590000000006</v>
      </c>
      <c r="M70" s="45">
        <f t="shared" si="29"/>
        <v>473.88239999999996</v>
      </c>
      <c r="N70" s="45">
        <f t="shared" si="30"/>
        <v>568.9926</v>
      </c>
      <c r="O70" s="45">
        <f t="shared" si="31"/>
        <v>781.1964</v>
      </c>
      <c r="P70" s="45">
        <f t="shared" si="32"/>
        <v>946.485</v>
      </c>
      <c r="Q70" s="45">
        <f t="shared" si="33"/>
        <v>1079.4546</v>
      </c>
      <c r="R70" s="45">
        <f t="shared" si="34"/>
        <v>1289.0664</v>
      </c>
    </row>
    <row r="71" spans="1:18" ht="12.75">
      <c r="A71" s="50">
        <v>4600</v>
      </c>
      <c r="B71" s="51">
        <v>2.07</v>
      </c>
      <c r="C71" s="51">
        <v>2.4</v>
      </c>
      <c r="D71" s="51">
        <v>2.73</v>
      </c>
      <c r="E71" s="51">
        <v>3.06</v>
      </c>
      <c r="F71" s="51">
        <v>3.39</v>
      </c>
      <c r="G71" s="48">
        <f t="shared" si="35"/>
        <v>68</v>
      </c>
      <c r="H71" s="45">
        <f t="shared" si="24"/>
        <v>63.987840000000006</v>
      </c>
      <c r="I71" s="45">
        <f t="shared" si="25"/>
        <v>162.288</v>
      </c>
      <c r="J71" s="45">
        <f t="shared" si="26"/>
        <v>300.63851999999997</v>
      </c>
      <c r="K71" s="45">
        <f t="shared" si="27"/>
        <v>342.83340000000004</v>
      </c>
      <c r="L71" s="45">
        <f t="shared" si="28"/>
        <v>433.25928</v>
      </c>
      <c r="M71" s="45">
        <f t="shared" si="29"/>
        <v>479.71008</v>
      </c>
      <c r="N71" s="45">
        <f t="shared" si="30"/>
        <v>575.98992</v>
      </c>
      <c r="O71" s="45">
        <f t="shared" si="31"/>
        <v>791.55144</v>
      </c>
      <c r="P71" s="45">
        <f t="shared" si="32"/>
        <v>959.0310000000001</v>
      </c>
      <c r="Q71" s="45">
        <f t="shared" si="33"/>
        <v>1093.76316</v>
      </c>
      <c r="R71" s="45">
        <f t="shared" si="34"/>
        <v>1306.15344</v>
      </c>
    </row>
    <row r="72" spans="1:18" ht="12.75">
      <c r="A72" s="50">
        <v>4700</v>
      </c>
      <c r="B72" s="51">
        <v>2.06</v>
      </c>
      <c r="C72" s="51">
        <v>2.38</v>
      </c>
      <c r="D72" s="51">
        <v>2.7</v>
      </c>
      <c r="E72" s="51">
        <v>3.03</v>
      </c>
      <c r="F72" s="51">
        <v>3.35</v>
      </c>
      <c r="G72" s="48">
        <f t="shared" si="35"/>
        <v>69</v>
      </c>
      <c r="H72" s="45">
        <f t="shared" si="24"/>
        <v>65.06304</v>
      </c>
      <c r="I72" s="45">
        <f t="shared" si="25"/>
        <v>164.43420000000003</v>
      </c>
      <c r="J72" s="45">
        <f t="shared" si="26"/>
        <v>303.7986</v>
      </c>
      <c r="K72" s="45">
        <f t="shared" si="27"/>
        <v>346.43699999999995</v>
      </c>
      <c r="L72" s="45">
        <f t="shared" si="28"/>
        <v>438.33797999999996</v>
      </c>
      <c r="M72" s="45">
        <f t="shared" si="29"/>
        <v>485.33327999999995</v>
      </c>
      <c r="N72" s="45">
        <f t="shared" si="30"/>
        <v>582.7417199999999</v>
      </c>
      <c r="O72" s="45">
        <f t="shared" si="31"/>
        <v>799.2162</v>
      </c>
      <c r="P72" s="45">
        <f t="shared" si="32"/>
        <v>968.3175</v>
      </c>
      <c r="Q72" s="45">
        <f t="shared" si="33"/>
        <v>1104.3543</v>
      </c>
      <c r="R72" s="45">
        <f t="shared" si="34"/>
        <v>1318.8011999999999</v>
      </c>
    </row>
    <row r="73" spans="1:18" ht="12.75">
      <c r="A73" s="50">
        <v>4800</v>
      </c>
      <c r="B73" s="51">
        <v>2.04</v>
      </c>
      <c r="C73" s="51">
        <v>2.36</v>
      </c>
      <c r="D73" s="51">
        <v>2.68</v>
      </c>
      <c r="E73" s="51">
        <v>3</v>
      </c>
      <c r="F73" s="51">
        <v>3.32</v>
      </c>
      <c r="G73" s="48">
        <f t="shared" si="35"/>
        <v>70</v>
      </c>
      <c r="H73" s="45">
        <f t="shared" si="24"/>
        <v>65.80224</v>
      </c>
      <c r="I73" s="45">
        <f t="shared" si="25"/>
        <v>166.5216</v>
      </c>
      <c r="J73" s="45">
        <f t="shared" si="26"/>
        <v>307.96416</v>
      </c>
      <c r="K73" s="45">
        <f t="shared" si="27"/>
        <v>351.1872</v>
      </c>
      <c r="L73" s="45">
        <f t="shared" si="28"/>
        <v>443.232</v>
      </c>
      <c r="M73" s="45">
        <f t="shared" si="29"/>
        <v>490.75200000000007</v>
      </c>
      <c r="N73" s="45">
        <f t="shared" si="30"/>
        <v>589.248</v>
      </c>
      <c r="O73" s="45">
        <f t="shared" si="31"/>
        <v>808.91136</v>
      </c>
      <c r="P73" s="45">
        <f t="shared" si="32"/>
        <v>980.0640000000001</v>
      </c>
      <c r="Q73" s="45">
        <f t="shared" si="33"/>
        <v>1117.75104</v>
      </c>
      <c r="R73" s="45">
        <f t="shared" si="34"/>
        <v>1334.7993600000002</v>
      </c>
    </row>
    <row r="74" spans="1:18" ht="12.75">
      <c r="A74" s="50">
        <v>4900</v>
      </c>
      <c r="B74" s="51">
        <v>2.02</v>
      </c>
      <c r="C74" s="51">
        <v>2.34</v>
      </c>
      <c r="D74" s="51">
        <v>2.65</v>
      </c>
      <c r="E74" s="51">
        <v>2.96</v>
      </c>
      <c r="F74" s="51">
        <v>3.28</v>
      </c>
      <c r="G74" s="48">
        <f t="shared" si="35"/>
        <v>71</v>
      </c>
      <c r="H74" s="45">
        <f t="shared" si="24"/>
        <v>66.51456</v>
      </c>
      <c r="I74" s="45">
        <f t="shared" si="25"/>
        <v>168.55020000000002</v>
      </c>
      <c r="J74" s="45">
        <f t="shared" si="26"/>
        <v>310.8609</v>
      </c>
      <c r="K74" s="45">
        <f t="shared" si="27"/>
        <v>354.49050000000005</v>
      </c>
      <c r="L74" s="45">
        <f t="shared" si="28"/>
        <v>446.43312</v>
      </c>
      <c r="M74" s="45">
        <f t="shared" si="29"/>
        <v>494.29632</v>
      </c>
      <c r="N74" s="45">
        <f t="shared" si="30"/>
        <v>593.50368</v>
      </c>
      <c r="O74" s="45">
        <f t="shared" si="31"/>
        <v>815.81472</v>
      </c>
      <c r="P74" s="45">
        <f t="shared" si="32"/>
        <v>988.4279999999999</v>
      </c>
      <c r="Q74" s="45">
        <f t="shared" si="33"/>
        <v>1127.2900799999998</v>
      </c>
      <c r="R74" s="45">
        <f t="shared" si="34"/>
        <v>1346.1907199999998</v>
      </c>
    </row>
    <row r="75" spans="1:18" ht="12.75">
      <c r="A75" s="50">
        <v>5000</v>
      </c>
      <c r="B75" s="51">
        <v>2</v>
      </c>
      <c r="C75" s="51">
        <v>2.31</v>
      </c>
      <c r="D75" s="51">
        <v>2.62</v>
      </c>
      <c r="E75" s="51">
        <v>2.93</v>
      </c>
      <c r="F75" s="51">
        <v>3.24</v>
      </c>
      <c r="G75" s="48">
        <f t="shared" si="35"/>
        <v>72</v>
      </c>
      <c r="H75" s="45">
        <f t="shared" si="24"/>
        <v>67.2</v>
      </c>
      <c r="I75" s="45">
        <f t="shared" si="25"/>
        <v>169.785</v>
      </c>
      <c r="J75" s="45">
        <f t="shared" si="26"/>
        <v>313.61400000000003</v>
      </c>
      <c r="K75" s="45">
        <f t="shared" si="27"/>
        <v>357.63</v>
      </c>
      <c r="L75" s="45">
        <f t="shared" si="28"/>
        <v>450.927</v>
      </c>
      <c r="M75" s="45">
        <f t="shared" si="29"/>
        <v>499.27200000000005</v>
      </c>
      <c r="N75" s="45">
        <f t="shared" si="30"/>
        <v>599.4780000000001</v>
      </c>
      <c r="O75" s="45">
        <f t="shared" si="31"/>
        <v>822.3120000000001</v>
      </c>
      <c r="P75" s="45">
        <f t="shared" si="32"/>
        <v>996.3000000000002</v>
      </c>
      <c r="Q75" s="45">
        <f t="shared" si="33"/>
        <v>1136.2680000000003</v>
      </c>
      <c r="R75" s="45">
        <f t="shared" si="34"/>
        <v>1356.912</v>
      </c>
    </row>
    <row r="76" spans="1:18" ht="12.75">
      <c r="A76" s="50">
        <v>5200</v>
      </c>
      <c r="B76" s="51">
        <v>1.98</v>
      </c>
      <c r="C76" s="51">
        <v>2.29</v>
      </c>
      <c r="D76" s="51">
        <v>2.59</v>
      </c>
      <c r="E76" s="51">
        <v>2.9</v>
      </c>
      <c r="F76" s="51">
        <v>3.2</v>
      </c>
      <c r="G76" s="48">
        <f t="shared" si="35"/>
        <v>73</v>
      </c>
      <c r="H76" s="45">
        <f t="shared" si="24"/>
        <v>69.18912</v>
      </c>
      <c r="I76" s="45">
        <f t="shared" si="25"/>
        <v>175.04760000000002</v>
      </c>
      <c r="J76" s="45">
        <f t="shared" si="26"/>
        <v>322.42392</v>
      </c>
      <c r="K76" s="45">
        <f t="shared" si="27"/>
        <v>367.6764</v>
      </c>
      <c r="L76" s="45">
        <f t="shared" si="28"/>
        <v>464.1624</v>
      </c>
      <c r="M76" s="45">
        <f t="shared" si="29"/>
        <v>513.9264</v>
      </c>
      <c r="N76" s="45">
        <f t="shared" si="30"/>
        <v>617.0736</v>
      </c>
      <c r="O76" s="45">
        <f t="shared" si="31"/>
        <v>844.6464</v>
      </c>
      <c r="P76" s="45">
        <f t="shared" si="32"/>
        <v>1023.36</v>
      </c>
      <c r="Q76" s="45">
        <f t="shared" si="33"/>
        <v>1167.1296</v>
      </c>
      <c r="R76" s="45">
        <f t="shared" si="34"/>
        <v>1393.7664000000002</v>
      </c>
    </row>
    <row r="77" spans="1:18" ht="12.75">
      <c r="A77" s="50">
        <v>5400</v>
      </c>
      <c r="B77" s="51">
        <v>1.96</v>
      </c>
      <c r="C77" s="51">
        <v>2.27</v>
      </c>
      <c r="D77" s="51">
        <v>2.57</v>
      </c>
      <c r="E77" s="51">
        <v>2.87</v>
      </c>
      <c r="F77" s="51">
        <v>3.17</v>
      </c>
      <c r="G77" s="48">
        <f t="shared" si="35"/>
        <v>74</v>
      </c>
      <c r="H77" s="45">
        <f t="shared" si="24"/>
        <v>71.12448</v>
      </c>
      <c r="I77" s="45">
        <f t="shared" si="25"/>
        <v>180.19260000000003</v>
      </c>
      <c r="J77" s="45">
        <f t="shared" si="26"/>
        <v>332.23932</v>
      </c>
      <c r="K77" s="45">
        <f t="shared" si="27"/>
        <v>378.86940000000004</v>
      </c>
      <c r="L77" s="45">
        <f t="shared" si="28"/>
        <v>477.02844000000005</v>
      </c>
      <c r="M77" s="45">
        <f t="shared" si="29"/>
        <v>528.17184</v>
      </c>
      <c r="N77" s="45">
        <f t="shared" si="30"/>
        <v>634.1781599999999</v>
      </c>
      <c r="O77" s="45">
        <f t="shared" si="31"/>
        <v>868.9096800000001</v>
      </c>
      <c r="P77" s="45">
        <f t="shared" si="32"/>
        <v>1052.757</v>
      </c>
      <c r="Q77" s="45">
        <f t="shared" si="33"/>
        <v>1200.65652</v>
      </c>
      <c r="R77" s="45">
        <f t="shared" si="34"/>
        <v>1433.8036800000002</v>
      </c>
    </row>
    <row r="78" spans="1:18" ht="12.75">
      <c r="A78" s="50">
        <v>5600</v>
      </c>
      <c r="B78" s="51">
        <v>1.95</v>
      </c>
      <c r="C78" s="51">
        <v>2.25</v>
      </c>
      <c r="D78" s="51">
        <v>2.54</v>
      </c>
      <c r="E78" s="51">
        <v>2.84</v>
      </c>
      <c r="F78" s="51">
        <v>3.14</v>
      </c>
      <c r="G78" s="48">
        <f t="shared" si="35"/>
        <v>75</v>
      </c>
      <c r="H78" s="45">
        <f t="shared" si="24"/>
        <v>73.3824</v>
      </c>
      <c r="I78" s="45">
        <f t="shared" si="25"/>
        <v>185.22</v>
      </c>
      <c r="J78" s="45">
        <f t="shared" si="26"/>
        <v>340.52256</v>
      </c>
      <c r="K78" s="45">
        <f t="shared" si="27"/>
        <v>388.31520000000006</v>
      </c>
      <c r="L78" s="45">
        <f t="shared" si="28"/>
        <v>489.52512</v>
      </c>
      <c r="M78" s="45">
        <f t="shared" si="29"/>
        <v>542.00832</v>
      </c>
      <c r="N78" s="45">
        <f t="shared" si="30"/>
        <v>650.7916799999999</v>
      </c>
      <c r="O78" s="45">
        <f t="shared" si="31"/>
        <v>892.56384</v>
      </c>
      <c r="P78" s="45">
        <f t="shared" si="32"/>
        <v>1081.4160000000002</v>
      </c>
      <c r="Q78" s="45">
        <f t="shared" si="33"/>
        <v>1233.34176</v>
      </c>
      <c r="R78" s="45">
        <f t="shared" si="34"/>
        <v>1472.83584</v>
      </c>
    </row>
    <row r="79" spans="1:18" ht="12.75">
      <c r="A79" s="50">
        <v>5800</v>
      </c>
      <c r="B79" s="51">
        <v>1.93</v>
      </c>
      <c r="C79" s="51">
        <v>2.23</v>
      </c>
      <c r="D79" s="51">
        <v>2.52</v>
      </c>
      <c r="E79" s="51">
        <v>2.82</v>
      </c>
      <c r="F79" s="51">
        <v>3.11</v>
      </c>
      <c r="G79" s="48">
        <f t="shared" si="35"/>
        <v>76</v>
      </c>
      <c r="H79" s="45">
        <f t="shared" si="24"/>
        <v>75.22368</v>
      </c>
      <c r="I79" s="45">
        <f t="shared" si="25"/>
        <v>190.1298</v>
      </c>
      <c r="J79" s="45">
        <f t="shared" si="26"/>
        <v>349.90704</v>
      </c>
      <c r="K79" s="45">
        <f t="shared" si="27"/>
        <v>399.0168</v>
      </c>
      <c r="L79" s="45">
        <f t="shared" si="28"/>
        <v>503.4376799999999</v>
      </c>
      <c r="M79" s="45">
        <f t="shared" si="29"/>
        <v>557.41248</v>
      </c>
      <c r="N79" s="45">
        <f t="shared" si="30"/>
        <v>669.28752</v>
      </c>
      <c r="O79" s="45">
        <f t="shared" si="31"/>
        <v>915.6088800000001</v>
      </c>
      <c r="P79" s="45">
        <f t="shared" si="32"/>
        <v>1109.337</v>
      </c>
      <c r="Q79" s="45">
        <f t="shared" si="33"/>
        <v>1265.18532</v>
      </c>
      <c r="R79" s="45">
        <f t="shared" si="34"/>
        <v>1510.86288</v>
      </c>
    </row>
    <row r="80" spans="1:18" ht="12.75">
      <c r="A80" s="50">
        <v>6000</v>
      </c>
      <c r="B80" s="51">
        <v>1.92</v>
      </c>
      <c r="C80" s="51">
        <v>2.21</v>
      </c>
      <c r="D80" s="51">
        <v>2.5</v>
      </c>
      <c r="E80" s="51">
        <v>2.79</v>
      </c>
      <c r="F80" s="51">
        <v>3.08</v>
      </c>
      <c r="G80" s="48">
        <f t="shared" si="35"/>
        <v>77</v>
      </c>
      <c r="H80" s="45">
        <f t="shared" si="24"/>
        <v>77.4144</v>
      </c>
      <c r="I80" s="45">
        <f t="shared" si="25"/>
        <v>194.922</v>
      </c>
      <c r="J80" s="45">
        <f t="shared" si="26"/>
        <v>359.1</v>
      </c>
      <c r="K80" s="45">
        <f t="shared" si="27"/>
        <v>409.5</v>
      </c>
      <c r="L80" s="45">
        <f t="shared" si="28"/>
        <v>515.2572</v>
      </c>
      <c r="M80" s="45">
        <f t="shared" si="29"/>
        <v>570.4992</v>
      </c>
      <c r="N80" s="45">
        <f t="shared" si="30"/>
        <v>685.0008</v>
      </c>
      <c r="O80" s="45">
        <f t="shared" si="31"/>
        <v>938.0448</v>
      </c>
      <c r="P80" s="45">
        <f t="shared" si="32"/>
        <v>1136.52</v>
      </c>
      <c r="Q80" s="45">
        <f t="shared" si="33"/>
        <v>1296.1872</v>
      </c>
      <c r="R80" s="45">
        <f t="shared" si="34"/>
        <v>1547.8848</v>
      </c>
    </row>
    <row r="81" spans="1:18" ht="12.75">
      <c r="A81" s="50">
        <v>6500</v>
      </c>
      <c r="B81" s="51">
        <v>1.88</v>
      </c>
      <c r="C81" s="51">
        <v>2.16</v>
      </c>
      <c r="D81" s="51">
        <v>2.44</v>
      </c>
      <c r="E81" s="51">
        <v>2.72</v>
      </c>
      <c r="F81" s="51">
        <v>3</v>
      </c>
      <c r="G81" s="48">
        <f t="shared" si="35"/>
        <v>78</v>
      </c>
      <c r="H81" s="45">
        <f t="shared" si="24"/>
        <v>82.11840000000001</v>
      </c>
      <c r="I81" s="45">
        <f t="shared" si="25"/>
        <v>206.38800000000003</v>
      </c>
      <c r="J81" s="45">
        <f t="shared" si="26"/>
        <v>379.68840000000006</v>
      </c>
      <c r="K81" s="45">
        <f t="shared" si="27"/>
        <v>432.978</v>
      </c>
      <c r="L81" s="45">
        <f t="shared" si="28"/>
        <v>544.1904</v>
      </c>
      <c r="M81" s="45">
        <f t="shared" si="29"/>
        <v>602.5344</v>
      </c>
      <c r="N81" s="45">
        <f t="shared" si="30"/>
        <v>723.4656</v>
      </c>
      <c r="O81" s="45">
        <f t="shared" si="31"/>
        <v>989.82</v>
      </c>
      <c r="P81" s="45">
        <f t="shared" si="32"/>
        <v>1199.25</v>
      </c>
      <c r="Q81" s="45">
        <f t="shared" si="33"/>
        <v>1367.73</v>
      </c>
      <c r="R81" s="45">
        <f t="shared" si="34"/>
        <v>1633.32</v>
      </c>
    </row>
    <row r="82" spans="1:18" ht="12.75">
      <c r="A82" s="50">
        <v>7000</v>
      </c>
      <c r="B82" s="51">
        <v>1.84</v>
      </c>
      <c r="C82" s="51">
        <v>2.11</v>
      </c>
      <c r="D82" s="51">
        <v>2.38</v>
      </c>
      <c r="E82" s="51">
        <v>2.66</v>
      </c>
      <c r="F82" s="51">
        <v>2.92</v>
      </c>
      <c r="G82" s="48">
        <f t="shared" si="35"/>
        <v>79</v>
      </c>
      <c r="H82" s="45">
        <f t="shared" si="24"/>
        <v>86.5536</v>
      </c>
      <c r="I82" s="45">
        <f t="shared" si="25"/>
        <v>217.11900000000003</v>
      </c>
      <c r="J82" s="45">
        <f t="shared" si="26"/>
        <v>398.8404</v>
      </c>
      <c r="K82" s="45">
        <f t="shared" si="27"/>
        <v>454.81800000000004</v>
      </c>
      <c r="L82" s="45">
        <f t="shared" si="28"/>
        <v>573.1236</v>
      </c>
      <c r="M82" s="45">
        <f t="shared" si="29"/>
        <v>634.5696</v>
      </c>
      <c r="N82" s="45">
        <f t="shared" si="30"/>
        <v>761.9304000000001</v>
      </c>
      <c r="O82" s="45">
        <f t="shared" si="31"/>
        <v>1037.5344</v>
      </c>
      <c r="P82" s="45">
        <f t="shared" si="32"/>
        <v>1257.06</v>
      </c>
      <c r="Q82" s="45">
        <f t="shared" si="33"/>
        <v>1433.6616000000001</v>
      </c>
      <c r="R82" s="45">
        <f t="shared" si="34"/>
        <v>1712.0544</v>
      </c>
    </row>
    <row r="83" spans="1:18" ht="12.75">
      <c r="A83" s="50">
        <v>7500</v>
      </c>
      <c r="B83" s="51">
        <v>1.8</v>
      </c>
      <c r="C83" s="51">
        <v>2.07</v>
      </c>
      <c r="D83" s="51">
        <v>2.32</v>
      </c>
      <c r="E83" s="51">
        <v>2.59</v>
      </c>
      <c r="F83" s="51">
        <v>2.84</v>
      </c>
      <c r="G83" s="48">
        <f t="shared" si="35"/>
        <v>80</v>
      </c>
      <c r="H83" s="45">
        <f t="shared" si="24"/>
        <v>90.72</v>
      </c>
      <c r="I83" s="45">
        <f t="shared" si="25"/>
        <v>228.21749999999997</v>
      </c>
      <c r="J83" s="45">
        <f t="shared" si="26"/>
        <v>416.556</v>
      </c>
      <c r="K83" s="45">
        <f t="shared" si="27"/>
        <v>475.02</v>
      </c>
      <c r="L83" s="45">
        <f t="shared" si="28"/>
        <v>597.9015</v>
      </c>
      <c r="M83" s="45">
        <f t="shared" si="29"/>
        <v>662.0039999999999</v>
      </c>
      <c r="N83" s="45">
        <f t="shared" si="30"/>
        <v>794.8710000000001</v>
      </c>
      <c r="O83" s="45">
        <f t="shared" si="31"/>
        <v>1081.188</v>
      </c>
      <c r="P83" s="45">
        <f t="shared" si="32"/>
        <v>1309.95</v>
      </c>
      <c r="Q83" s="45">
        <f t="shared" si="33"/>
        <v>1493.9820000000002</v>
      </c>
      <c r="R83" s="45">
        <f t="shared" si="34"/>
        <v>1784.0880000000002</v>
      </c>
    </row>
    <row r="84" spans="1:18" ht="12.75">
      <c r="A84" s="50">
        <v>8000</v>
      </c>
      <c r="B84" s="51">
        <v>1.77</v>
      </c>
      <c r="C84" s="51">
        <v>2.03</v>
      </c>
      <c r="D84" s="51">
        <v>2.28</v>
      </c>
      <c r="E84" s="51">
        <v>2.54</v>
      </c>
      <c r="F84" s="51">
        <v>2.79</v>
      </c>
      <c r="G84" s="48">
        <f t="shared" si="35"/>
        <v>81</v>
      </c>
      <c r="H84" s="45">
        <f t="shared" si="24"/>
        <v>95.15520000000001</v>
      </c>
      <c r="I84" s="45">
        <f t="shared" si="25"/>
        <v>238.72799999999998</v>
      </c>
      <c r="J84" s="45">
        <f t="shared" si="26"/>
        <v>436.6656</v>
      </c>
      <c r="K84" s="45">
        <f t="shared" si="27"/>
        <v>497.95200000000006</v>
      </c>
      <c r="L84" s="45">
        <f t="shared" si="28"/>
        <v>625.4496</v>
      </c>
      <c r="M84" s="45">
        <f t="shared" si="29"/>
        <v>692.5056</v>
      </c>
      <c r="N84" s="45">
        <f t="shared" si="30"/>
        <v>831.4944</v>
      </c>
      <c r="O84" s="45">
        <f t="shared" si="31"/>
        <v>1132.9632000000001</v>
      </c>
      <c r="P84" s="45">
        <f t="shared" si="32"/>
        <v>1372.68</v>
      </c>
      <c r="Q84" s="45">
        <f t="shared" si="33"/>
        <v>1565.5248000000001</v>
      </c>
      <c r="R84" s="45">
        <f t="shared" si="34"/>
        <v>1869.5232</v>
      </c>
    </row>
    <row r="85" spans="1:18" ht="12.75">
      <c r="A85" s="50">
        <v>8500</v>
      </c>
      <c r="B85" s="51">
        <v>1.75</v>
      </c>
      <c r="C85" s="51">
        <v>2</v>
      </c>
      <c r="D85" s="51">
        <v>2.25</v>
      </c>
      <c r="E85" s="51">
        <v>2.5</v>
      </c>
      <c r="F85" s="51">
        <v>2.74</v>
      </c>
      <c r="G85" s="48">
        <f t="shared" si="35"/>
        <v>82</v>
      </c>
      <c r="H85" s="45">
        <f t="shared" si="24"/>
        <v>99.96</v>
      </c>
      <c r="I85" s="45">
        <f t="shared" si="25"/>
        <v>249.9</v>
      </c>
      <c r="J85" s="45">
        <f t="shared" si="26"/>
        <v>457.8525</v>
      </c>
      <c r="K85" s="45">
        <f t="shared" si="27"/>
        <v>522.1125</v>
      </c>
      <c r="L85" s="45">
        <f t="shared" si="28"/>
        <v>654.075</v>
      </c>
      <c r="M85" s="45">
        <f t="shared" si="29"/>
        <v>724.2</v>
      </c>
      <c r="N85" s="45">
        <f t="shared" si="30"/>
        <v>869.55</v>
      </c>
      <c r="O85" s="45">
        <f t="shared" si="31"/>
        <v>1182.2004000000002</v>
      </c>
      <c r="P85" s="45">
        <f t="shared" si="32"/>
        <v>1432.335</v>
      </c>
      <c r="Q85" s="45">
        <f t="shared" si="33"/>
        <v>1633.5606</v>
      </c>
      <c r="R85" s="45">
        <f t="shared" si="34"/>
        <v>1950.7704</v>
      </c>
    </row>
    <row r="86" spans="1:18" ht="12.75">
      <c r="A86" s="50">
        <v>9000</v>
      </c>
      <c r="B86" s="51">
        <v>1.73</v>
      </c>
      <c r="C86" s="51">
        <v>1.97</v>
      </c>
      <c r="D86" s="51">
        <v>2.21</v>
      </c>
      <c r="E86" s="51">
        <v>2.46</v>
      </c>
      <c r="F86" s="51">
        <v>2.7</v>
      </c>
      <c r="G86" s="48">
        <f t="shared" si="35"/>
        <v>83</v>
      </c>
      <c r="H86" s="45">
        <f t="shared" si="24"/>
        <v>104.63040000000001</v>
      </c>
      <c r="I86" s="45">
        <f t="shared" si="25"/>
        <v>260.63100000000003</v>
      </c>
      <c r="J86" s="45">
        <f t="shared" si="26"/>
        <v>476.1666</v>
      </c>
      <c r="K86" s="45">
        <f t="shared" si="27"/>
        <v>542.9970000000001</v>
      </c>
      <c r="L86" s="45">
        <f t="shared" si="28"/>
        <v>681.4692</v>
      </c>
      <c r="M86" s="45">
        <f t="shared" si="29"/>
        <v>754.5311999999999</v>
      </c>
      <c r="N86" s="45">
        <f t="shared" si="30"/>
        <v>905.9688000000001</v>
      </c>
      <c r="O86" s="45">
        <f t="shared" si="31"/>
        <v>1233.468</v>
      </c>
      <c r="P86" s="45">
        <f t="shared" si="32"/>
        <v>1494.45</v>
      </c>
      <c r="Q86" s="45">
        <f t="shared" si="33"/>
        <v>1704.402</v>
      </c>
      <c r="R86" s="45">
        <f t="shared" si="34"/>
        <v>2035.3680000000002</v>
      </c>
    </row>
    <row r="87" spans="1:18" ht="12.75">
      <c r="A87" s="50">
        <v>9500</v>
      </c>
      <c r="B87" s="51">
        <v>1.71</v>
      </c>
      <c r="C87" s="51">
        <v>1.94</v>
      </c>
      <c r="D87" s="51">
        <v>2.18</v>
      </c>
      <c r="E87" s="51">
        <v>2.42</v>
      </c>
      <c r="F87" s="51">
        <v>2.65</v>
      </c>
      <c r="G87" s="48">
        <f t="shared" si="35"/>
        <v>84</v>
      </c>
      <c r="H87" s="45">
        <f t="shared" si="24"/>
        <v>109.1664</v>
      </c>
      <c r="I87" s="45">
        <f t="shared" si="25"/>
        <v>270.92100000000005</v>
      </c>
      <c r="J87" s="45">
        <f t="shared" si="26"/>
        <v>495.7974</v>
      </c>
      <c r="K87" s="45">
        <f t="shared" si="27"/>
        <v>565.383</v>
      </c>
      <c r="L87" s="45">
        <f t="shared" si="28"/>
        <v>707.6322</v>
      </c>
      <c r="M87" s="45">
        <f t="shared" si="29"/>
        <v>783.4992</v>
      </c>
      <c r="N87" s="45">
        <f t="shared" si="30"/>
        <v>940.7508</v>
      </c>
      <c r="O87" s="45">
        <f t="shared" si="31"/>
        <v>1277.883</v>
      </c>
      <c r="P87" s="45">
        <f t="shared" si="32"/>
        <v>1548.2625</v>
      </c>
      <c r="Q87" s="45">
        <f t="shared" si="33"/>
        <v>1765.7745000000002</v>
      </c>
      <c r="R87" s="45">
        <f t="shared" si="34"/>
        <v>2108.6580000000004</v>
      </c>
    </row>
    <row r="88" spans="1:18" ht="12.75">
      <c r="A88" s="50">
        <v>10000</v>
      </c>
      <c r="B88" s="51">
        <v>1.69</v>
      </c>
      <c r="C88" s="51">
        <v>1.91</v>
      </c>
      <c r="D88" s="51">
        <v>2.15</v>
      </c>
      <c r="E88" s="51">
        <v>2.33</v>
      </c>
      <c r="F88" s="51">
        <v>2.61</v>
      </c>
      <c r="G88" s="48">
        <f t="shared" si="35"/>
        <v>85</v>
      </c>
      <c r="H88" s="45">
        <f t="shared" si="24"/>
        <v>113.56800000000001</v>
      </c>
      <c r="I88" s="45">
        <f t="shared" si="25"/>
        <v>280.77</v>
      </c>
      <c r="J88" s="45">
        <f t="shared" si="26"/>
        <v>514.71</v>
      </c>
      <c r="K88" s="45">
        <f t="shared" si="27"/>
        <v>586.95</v>
      </c>
      <c r="L88" s="45">
        <f t="shared" si="28"/>
        <v>717.1740000000001</v>
      </c>
      <c r="M88" s="45">
        <f t="shared" si="29"/>
        <v>794.0640000000001</v>
      </c>
      <c r="N88" s="45">
        <f t="shared" si="30"/>
        <v>953.436</v>
      </c>
      <c r="O88" s="45">
        <f t="shared" si="31"/>
        <v>1324.836</v>
      </c>
      <c r="P88" s="45">
        <f t="shared" si="32"/>
        <v>1605.15</v>
      </c>
      <c r="Q88" s="45">
        <f t="shared" si="33"/>
        <v>1830.654</v>
      </c>
      <c r="R88" s="45">
        <f t="shared" si="34"/>
        <v>2186.136</v>
      </c>
    </row>
    <row r="89" spans="1:18" ht="12.75">
      <c r="A89" s="50">
        <v>10500</v>
      </c>
      <c r="B89" s="51">
        <v>1.66</v>
      </c>
      <c r="C89" s="51">
        <v>1.88</v>
      </c>
      <c r="D89" s="51">
        <v>2.12</v>
      </c>
      <c r="E89" s="51">
        <v>2.31</v>
      </c>
      <c r="F89" s="51">
        <v>2.57</v>
      </c>
      <c r="G89" s="48">
        <f t="shared" si="35"/>
        <v>86</v>
      </c>
      <c r="H89" s="45">
        <f t="shared" si="24"/>
        <v>117.12960000000001</v>
      </c>
      <c r="I89" s="45">
        <f t="shared" si="25"/>
        <v>290.178</v>
      </c>
      <c r="J89" s="45">
        <f t="shared" si="26"/>
        <v>532.9044</v>
      </c>
      <c r="K89" s="45">
        <f t="shared" si="27"/>
        <v>607.698</v>
      </c>
      <c r="L89" s="45">
        <f t="shared" si="28"/>
        <v>746.5689</v>
      </c>
      <c r="M89" s="45">
        <f t="shared" si="29"/>
        <v>826.6104</v>
      </c>
      <c r="N89" s="45">
        <f t="shared" si="30"/>
        <v>992.5146000000001</v>
      </c>
      <c r="O89" s="45">
        <f t="shared" si="31"/>
        <v>1369.7586000000001</v>
      </c>
      <c r="P89" s="45">
        <f t="shared" si="32"/>
        <v>1659.5775</v>
      </c>
      <c r="Q89" s="45">
        <f t="shared" si="33"/>
        <v>1892.7279</v>
      </c>
      <c r="R89" s="45">
        <f t="shared" si="34"/>
        <v>2260.2636</v>
      </c>
    </row>
    <row r="90" spans="1:18" ht="12.75">
      <c r="A90" s="50">
        <v>11000</v>
      </c>
      <c r="B90" s="51">
        <v>1.64</v>
      </c>
      <c r="C90" s="51">
        <v>1.86</v>
      </c>
      <c r="D90" s="51">
        <v>2.09</v>
      </c>
      <c r="E90" s="51">
        <v>2.28</v>
      </c>
      <c r="F90" s="51">
        <v>2.53</v>
      </c>
      <c r="G90" s="48">
        <f t="shared" si="35"/>
        <v>87</v>
      </c>
      <c r="H90" s="45">
        <f t="shared" si="24"/>
        <v>121.2288</v>
      </c>
      <c r="I90" s="45">
        <f t="shared" si="25"/>
        <v>300.762</v>
      </c>
      <c r="J90" s="45">
        <f t="shared" si="26"/>
        <v>550.3806</v>
      </c>
      <c r="K90" s="45">
        <f t="shared" si="27"/>
        <v>627.6270000000001</v>
      </c>
      <c r="L90" s="45">
        <f t="shared" si="28"/>
        <v>771.9623999999999</v>
      </c>
      <c r="M90" s="45">
        <f t="shared" si="29"/>
        <v>854.7263999999999</v>
      </c>
      <c r="N90" s="45">
        <f t="shared" si="30"/>
        <v>1026.2735999999998</v>
      </c>
      <c r="O90" s="45">
        <f t="shared" si="31"/>
        <v>1412.6508</v>
      </c>
      <c r="P90" s="45">
        <f t="shared" si="32"/>
        <v>1711.5449999999996</v>
      </c>
      <c r="Q90" s="45">
        <f t="shared" si="33"/>
        <v>1951.9962</v>
      </c>
      <c r="R90" s="45">
        <f t="shared" si="34"/>
        <v>2331.0407999999998</v>
      </c>
    </row>
    <row r="91" spans="1:18" ht="12.75">
      <c r="A91" s="50">
        <v>11500</v>
      </c>
      <c r="B91" s="51">
        <v>1.61</v>
      </c>
      <c r="C91" s="51">
        <v>1.83</v>
      </c>
      <c r="D91" s="51">
        <v>2.06</v>
      </c>
      <c r="E91" s="51">
        <v>2.26</v>
      </c>
      <c r="F91" s="51">
        <v>2.49</v>
      </c>
      <c r="G91" s="48">
        <f t="shared" si="35"/>
        <v>88</v>
      </c>
      <c r="H91" s="45">
        <f t="shared" si="24"/>
        <v>124.4208</v>
      </c>
      <c r="I91" s="45">
        <f t="shared" si="25"/>
        <v>309.36150000000004</v>
      </c>
      <c r="J91" s="45">
        <f t="shared" si="26"/>
        <v>567.1386</v>
      </c>
      <c r="K91" s="45">
        <f t="shared" si="27"/>
        <v>646.7370000000001</v>
      </c>
      <c r="L91" s="45">
        <f t="shared" si="28"/>
        <v>799.9721999999998</v>
      </c>
      <c r="M91" s="45">
        <f t="shared" si="29"/>
        <v>885.7391999999999</v>
      </c>
      <c r="N91" s="45">
        <f t="shared" si="30"/>
        <v>1063.5107999999998</v>
      </c>
      <c r="O91" s="45">
        <f t="shared" si="31"/>
        <v>1453.5126000000005</v>
      </c>
      <c r="P91" s="45">
        <f t="shared" si="32"/>
        <v>1761.0525000000002</v>
      </c>
      <c r="Q91" s="45">
        <f t="shared" si="33"/>
        <v>2008.4589</v>
      </c>
      <c r="R91" s="45">
        <f t="shared" si="34"/>
        <v>2398.4676000000004</v>
      </c>
    </row>
    <row r="92" spans="1:18" ht="12.75">
      <c r="A92" s="50">
        <v>12000</v>
      </c>
      <c r="B92" s="51">
        <v>1.59</v>
      </c>
      <c r="C92" s="51">
        <v>1.81</v>
      </c>
      <c r="D92" s="51">
        <v>2.03</v>
      </c>
      <c r="E92" s="51">
        <v>2.23</v>
      </c>
      <c r="F92" s="51">
        <v>2.45</v>
      </c>
      <c r="G92" s="48">
        <f t="shared" si="35"/>
        <v>89</v>
      </c>
      <c r="H92" s="45">
        <f t="shared" si="24"/>
        <v>128.2176</v>
      </c>
      <c r="I92" s="45">
        <f t="shared" si="25"/>
        <v>319.284</v>
      </c>
      <c r="J92" s="45">
        <f t="shared" si="26"/>
        <v>583.1783999999999</v>
      </c>
      <c r="K92" s="45">
        <f t="shared" si="27"/>
        <v>665.0279999999999</v>
      </c>
      <c r="L92" s="45">
        <f t="shared" si="28"/>
        <v>823.6727999999999</v>
      </c>
      <c r="M92" s="45">
        <f t="shared" si="29"/>
        <v>911.9808</v>
      </c>
      <c r="N92" s="45">
        <f t="shared" si="30"/>
        <v>1095.0192</v>
      </c>
      <c r="O92" s="45">
        <f t="shared" si="31"/>
        <v>1492.3440000000003</v>
      </c>
      <c r="P92" s="45">
        <f t="shared" si="32"/>
        <v>1808.1000000000004</v>
      </c>
      <c r="Q92" s="45">
        <f t="shared" si="33"/>
        <v>2062.1160000000004</v>
      </c>
      <c r="R92" s="45">
        <f t="shared" si="34"/>
        <v>2462.5440000000003</v>
      </c>
    </row>
    <row r="93" spans="1:18" ht="12.75">
      <c r="A93" s="50">
        <v>12500</v>
      </c>
      <c r="B93" s="51">
        <v>1.57</v>
      </c>
      <c r="C93" s="51">
        <v>1.79</v>
      </c>
      <c r="D93" s="51">
        <v>2</v>
      </c>
      <c r="E93" s="51">
        <v>2.21</v>
      </c>
      <c r="F93" s="51">
        <v>2.42</v>
      </c>
      <c r="G93" s="48">
        <f t="shared" si="35"/>
        <v>90</v>
      </c>
      <c r="H93" s="45">
        <f t="shared" si="24"/>
        <v>131.88</v>
      </c>
      <c r="I93" s="45">
        <f t="shared" si="25"/>
        <v>328.9125</v>
      </c>
      <c r="J93" s="45">
        <f t="shared" si="26"/>
        <v>598.5</v>
      </c>
      <c r="K93" s="45">
        <f t="shared" si="27"/>
        <v>682.5</v>
      </c>
      <c r="L93" s="45">
        <f t="shared" si="28"/>
        <v>850.2975</v>
      </c>
      <c r="M93" s="45">
        <f t="shared" si="29"/>
        <v>941.46</v>
      </c>
      <c r="N93" s="45">
        <f t="shared" si="30"/>
        <v>1130.415</v>
      </c>
      <c r="O93" s="45">
        <f t="shared" si="31"/>
        <v>1535.49</v>
      </c>
      <c r="P93" s="45">
        <f t="shared" si="32"/>
        <v>1860.375</v>
      </c>
      <c r="Q93" s="45">
        <f t="shared" si="33"/>
        <v>2121.735</v>
      </c>
      <c r="R93" s="45">
        <f t="shared" si="34"/>
        <v>2533.74</v>
      </c>
    </row>
    <row r="94" spans="1:18" ht="12.75">
      <c r="A94" s="50">
        <v>13000</v>
      </c>
      <c r="B94" s="51">
        <v>1.55</v>
      </c>
      <c r="C94" s="51">
        <v>1.76</v>
      </c>
      <c r="D94" s="51">
        <v>1.97</v>
      </c>
      <c r="E94" s="51">
        <v>2.18</v>
      </c>
      <c r="F94" s="51">
        <v>2.39</v>
      </c>
      <c r="G94" s="48">
        <f t="shared" si="35"/>
        <v>91</v>
      </c>
      <c r="H94" s="45">
        <f t="shared" si="24"/>
        <v>135.40800000000002</v>
      </c>
      <c r="I94" s="45">
        <f t="shared" si="25"/>
        <v>336.336</v>
      </c>
      <c r="J94" s="45">
        <f t="shared" si="26"/>
        <v>613.1034000000001</v>
      </c>
      <c r="K94" s="45">
        <f t="shared" si="27"/>
        <v>699.153</v>
      </c>
      <c r="L94" s="45">
        <f t="shared" si="28"/>
        <v>872.3052000000002</v>
      </c>
      <c r="M94" s="45">
        <f t="shared" si="29"/>
        <v>965.8272000000002</v>
      </c>
      <c r="N94" s="45">
        <f t="shared" si="30"/>
        <v>1159.6728000000003</v>
      </c>
      <c r="O94" s="45">
        <f t="shared" si="31"/>
        <v>1577.1132</v>
      </c>
      <c r="P94" s="45">
        <f t="shared" si="32"/>
        <v>1910.805</v>
      </c>
      <c r="Q94" s="45">
        <f t="shared" si="33"/>
        <v>2179.2498</v>
      </c>
      <c r="R94" s="45">
        <f t="shared" si="34"/>
        <v>2602.4232</v>
      </c>
    </row>
    <row r="95" spans="1:18" ht="12.75">
      <c r="A95" s="50">
        <v>13500</v>
      </c>
      <c r="B95" s="51">
        <v>1.53</v>
      </c>
      <c r="C95" s="51">
        <v>1.74</v>
      </c>
      <c r="D95" s="51">
        <v>1.94</v>
      </c>
      <c r="E95" s="51">
        <v>2.15</v>
      </c>
      <c r="F95" s="51">
        <v>2.36</v>
      </c>
      <c r="G95" s="48">
        <f t="shared" si="35"/>
        <v>92</v>
      </c>
      <c r="H95" s="45">
        <f t="shared" si="24"/>
        <v>138.8016</v>
      </c>
      <c r="I95" s="45">
        <f t="shared" si="25"/>
        <v>345.30300000000005</v>
      </c>
      <c r="J95" s="45">
        <f t="shared" si="26"/>
        <v>626.9886</v>
      </c>
      <c r="K95" s="45">
        <f t="shared" si="27"/>
        <v>714.987</v>
      </c>
      <c r="L95" s="45">
        <f t="shared" si="28"/>
        <v>893.3895</v>
      </c>
      <c r="M95" s="45">
        <f t="shared" si="29"/>
        <v>989.172</v>
      </c>
      <c r="N95" s="45">
        <f t="shared" si="30"/>
        <v>1187.703</v>
      </c>
      <c r="O95" s="45">
        <f t="shared" si="31"/>
        <v>1617.2136</v>
      </c>
      <c r="P95" s="45">
        <f t="shared" si="32"/>
        <v>1959.39</v>
      </c>
      <c r="Q95" s="45">
        <f t="shared" si="33"/>
        <v>2234.6604</v>
      </c>
      <c r="R95" s="45">
        <f t="shared" si="34"/>
        <v>2668.5935999999997</v>
      </c>
    </row>
    <row r="96" spans="1:18" ht="12.75">
      <c r="A96" s="50">
        <v>14000</v>
      </c>
      <c r="B96" s="51">
        <v>1.52</v>
      </c>
      <c r="C96" s="51">
        <v>1.72</v>
      </c>
      <c r="D96" s="51">
        <v>1.92</v>
      </c>
      <c r="E96" s="51">
        <v>2.12</v>
      </c>
      <c r="F96" s="51">
        <v>2.33</v>
      </c>
      <c r="G96" s="48">
        <f t="shared" si="35"/>
        <v>93</v>
      </c>
      <c r="H96" s="45">
        <f t="shared" si="24"/>
        <v>143.0016</v>
      </c>
      <c r="I96" s="45">
        <f t="shared" si="25"/>
        <v>353.976</v>
      </c>
      <c r="J96" s="45">
        <f t="shared" si="26"/>
        <v>643.5072</v>
      </c>
      <c r="K96" s="45">
        <f t="shared" si="27"/>
        <v>733.8240000000001</v>
      </c>
      <c r="L96" s="45">
        <f t="shared" si="28"/>
        <v>913.5504000000001</v>
      </c>
      <c r="M96" s="45">
        <f t="shared" si="29"/>
        <v>1011.4944</v>
      </c>
      <c r="N96" s="45">
        <f t="shared" si="30"/>
        <v>1214.5056</v>
      </c>
      <c r="O96" s="45">
        <f t="shared" si="31"/>
        <v>1655.7912</v>
      </c>
      <c r="P96" s="45">
        <f t="shared" si="32"/>
        <v>2006.13</v>
      </c>
      <c r="Q96" s="45">
        <f t="shared" si="33"/>
        <v>2287.9668</v>
      </c>
      <c r="R96" s="45">
        <f t="shared" si="34"/>
        <v>2732.2512</v>
      </c>
    </row>
    <row r="97" spans="1:18" ht="12.75">
      <c r="A97" s="50">
        <v>14500</v>
      </c>
      <c r="B97" s="51">
        <v>1.5</v>
      </c>
      <c r="C97" s="51">
        <v>1.7</v>
      </c>
      <c r="D97" s="51">
        <v>1.89</v>
      </c>
      <c r="E97" s="51">
        <v>2.09</v>
      </c>
      <c r="F97" s="51">
        <v>2.3</v>
      </c>
      <c r="G97" s="48">
        <f t="shared" si="35"/>
        <v>94</v>
      </c>
      <c r="H97" s="45">
        <f t="shared" si="24"/>
        <v>146.16</v>
      </c>
      <c r="I97" s="45">
        <f t="shared" si="25"/>
        <v>362.355</v>
      </c>
      <c r="J97" s="45">
        <f t="shared" si="26"/>
        <v>656.0757000000001</v>
      </c>
      <c r="K97" s="45">
        <f t="shared" si="27"/>
        <v>748.1565</v>
      </c>
      <c r="L97" s="45">
        <f t="shared" si="28"/>
        <v>932.7878999999999</v>
      </c>
      <c r="M97" s="45">
        <f t="shared" si="29"/>
        <v>1032.7943999999998</v>
      </c>
      <c r="N97" s="45">
        <f t="shared" si="30"/>
        <v>1240.0805999999998</v>
      </c>
      <c r="O97" s="45">
        <f t="shared" si="31"/>
        <v>1692.846</v>
      </c>
      <c r="P97" s="45">
        <f t="shared" si="32"/>
        <v>2051.025</v>
      </c>
      <c r="Q97" s="45">
        <f t="shared" si="33"/>
        <v>2339.169</v>
      </c>
      <c r="R97" s="45">
        <f t="shared" si="34"/>
        <v>2793.3959999999997</v>
      </c>
    </row>
    <row r="98" spans="1:18" ht="12.75">
      <c r="A98" s="50">
        <v>15000</v>
      </c>
      <c r="B98" s="51">
        <v>1.49</v>
      </c>
      <c r="C98" s="51">
        <v>1.68</v>
      </c>
      <c r="D98" s="51">
        <v>1.87</v>
      </c>
      <c r="E98" s="51">
        <v>2.07</v>
      </c>
      <c r="F98" s="51">
        <v>2.27</v>
      </c>
      <c r="G98" s="48">
        <f t="shared" si="35"/>
        <v>95</v>
      </c>
      <c r="H98" s="45">
        <f t="shared" si="24"/>
        <v>150.192</v>
      </c>
      <c r="I98" s="45">
        <f t="shared" si="25"/>
        <v>370.44</v>
      </c>
      <c r="J98" s="45">
        <f t="shared" si="26"/>
        <v>671.5169999999999</v>
      </c>
      <c r="K98" s="45">
        <f t="shared" si="27"/>
        <v>765.765</v>
      </c>
      <c r="L98" s="45">
        <f t="shared" si="28"/>
        <v>955.7189999999999</v>
      </c>
      <c r="M98" s="45">
        <f t="shared" si="29"/>
        <v>1058.1839999999997</v>
      </c>
      <c r="N98" s="45">
        <f t="shared" si="30"/>
        <v>1270.5659999999998</v>
      </c>
      <c r="O98" s="45">
        <f t="shared" si="31"/>
        <v>1728.3780000000002</v>
      </c>
      <c r="P98" s="45">
        <f t="shared" si="32"/>
        <v>2094.075</v>
      </c>
      <c r="Q98" s="45">
        <f t="shared" si="33"/>
        <v>2388.2670000000003</v>
      </c>
      <c r="R98" s="45">
        <f t="shared" si="34"/>
        <v>2852.028</v>
      </c>
    </row>
    <row r="99" spans="1:18" ht="12.75">
      <c r="A99" s="50">
        <v>17500</v>
      </c>
      <c r="B99" s="51">
        <v>1.41</v>
      </c>
      <c r="C99" s="51">
        <v>1.58</v>
      </c>
      <c r="D99" s="51">
        <v>1.76</v>
      </c>
      <c r="E99" s="51">
        <v>1.94</v>
      </c>
      <c r="F99" s="51">
        <v>2.12</v>
      </c>
      <c r="G99" s="48">
        <f t="shared" si="35"/>
        <v>96</v>
      </c>
      <c r="H99" s="45">
        <f t="shared" si="24"/>
        <v>165.81599999999997</v>
      </c>
      <c r="I99" s="45">
        <f t="shared" si="25"/>
        <v>406.455</v>
      </c>
      <c r="J99" s="45">
        <f t="shared" si="26"/>
        <v>737.352</v>
      </c>
      <c r="K99" s="45">
        <f t="shared" si="27"/>
        <v>840.84</v>
      </c>
      <c r="L99" s="45">
        <f t="shared" si="28"/>
        <v>1044.981</v>
      </c>
      <c r="M99" s="45">
        <f t="shared" si="29"/>
        <v>1157.016</v>
      </c>
      <c r="N99" s="45">
        <f t="shared" si="30"/>
        <v>1389.234</v>
      </c>
      <c r="O99" s="45">
        <f t="shared" si="31"/>
        <v>1883.1960000000001</v>
      </c>
      <c r="P99" s="45">
        <f t="shared" si="32"/>
        <v>2281.65</v>
      </c>
      <c r="Q99" s="45">
        <f t="shared" si="33"/>
        <v>2602.194</v>
      </c>
      <c r="R99" s="45">
        <f t="shared" si="34"/>
        <v>3107.4960000000005</v>
      </c>
    </row>
    <row r="100" spans="1:18" ht="12.75">
      <c r="A100" s="50">
        <v>20000</v>
      </c>
      <c r="B100" s="51">
        <v>1.34</v>
      </c>
      <c r="C100" s="51">
        <v>1.51</v>
      </c>
      <c r="D100" s="51">
        <v>1.67</v>
      </c>
      <c r="E100" s="51">
        <v>1.84</v>
      </c>
      <c r="F100" s="51">
        <v>2</v>
      </c>
      <c r="G100" s="48">
        <f t="shared" si="35"/>
        <v>97</v>
      </c>
      <c r="H100" s="45">
        <f t="shared" si="24"/>
        <v>180.09600000000003</v>
      </c>
      <c r="I100" s="45">
        <f t="shared" si="25"/>
        <v>443.94</v>
      </c>
      <c r="J100" s="45">
        <f t="shared" si="26"/>
        <v>799.596</v>
      </c>
      <c r="K100" s="45">
        <f t="shared" si="27"/>
        <v>911.82</v>
      </c>
      <c r="L100" s="45">
        <f t="shared" si="28"/>
        <v>1132.7040000000002</v>
      </c>
      <c r="M100" s="45">
        <f t="shared" si="29"/>
        <v>1254.144</v>
      </c>
      <c r="N100" s="45">
        <f t="shared" si="30"/>
        <v>1505.856</v>
      </c>
      <c r="O100" s="45">
        <f t="shared" si="31"/>
        <v>2030.4</v>
      </c>
      <c r="P100" s="45">
        <f t="shared" si="32"/>
        <v>2460</v>
      </c>
      <c r="Q100" s="45">
        <f t="shared" si="33"/>
        <v>2805.6</v>
      </c>
      <c r="R100" s="45">
        <f t="shared" si="34"/>
        <v>3350.4</v>
      </c>
    </row>
    <row r="101" spans="1:18" ht="12.75">
      <c r="A101" s="50">
        <v>22500</v>
      </c>
      <c r="B101" s="51">
        <v>1.28</v>
      </c>
      <c r="C101" s="51">
        <v>1.43</v>
      </c>
      <c r="D101" s="51">
        <v>1.57</v>
      </c>
      <c r="E101" s="51">
        <v>1.73</v>
      </c>
      <c r="F101" s="51">
        <v>1.88</v>
      </c>
      <c r="G101" s="48">
        <f t="shared" si="35"/>
        <v>98</v>
      </c>
      <c r="H101" s="45">
        <f aca="true" t="shared" si="36" ref="H101:H125">$A101*$B101*H$2*$C$133*$J$134*$J$135*$J$136/100</f>
        <v>193.53600000000003</v>
      </c>
      <c r="I101" s="45">
        <f aca="true" t="shared" si="37" ref="I101:I125">$A101*$C101*$I$2*$C$133*$J$134*$J$135*$J$136/100</f>
        <v>472.9725</v>
      </c>
      <c r="J101" s="45">
        <f aca="true" t="shared" si="38" ref="J101:J125">$A101*$D101*$J$2*$C$133*$J$134*$J$135*$J$136/100</f>
        <v>845.6805</v>
      </c>
      <c r="K101" s="45">
        <f aca="true" t="shared" si="39" ref="K101:K125">$A101*$D101*$K$2*$C$133*$J$134*$J$135*$J$136/100</f>
        <v>964.3725</v>
      </c>
      <c r="L101" s="45">
        <f aca="true" t="shared" si="40" ref="L101:L125">$A101*$E101*$L$2*$C$133*$J$134*$J$135*$J$136/100</f>
        <v>1198.1115</v>
      </c>
      <c r="M101" s="45">
        <f aca="true" t="shared" si="41" ref="M101:M125">$A101*$E101*$M$2*$C$133*$J$134*$J$135*$J$136/100</f>
        <v>1326.5639999999999</v>
      </c>
      <c r="N101" s="45">
        <f aca="true" t="shared" si="42" ref="N101:N125">$A101*$E101*$N$2*$C$133*$J$134*$J$135*$J$136/100</f>
        <v>1592.8110000000001</v>
      </c>
      <c r="O101" s="45">
        <f aca="true" t="shared" si="43" ref="O101:O125">$A101*$F101*$O$2*$C$133*$J$134*$J$135*$J$136/100</f>
        <v>2147.148</v>
      </c>
      <c r="P101" s="45">
        <f aca="true" t="shared" si="44" ref="P101:P125">$A101*$F101*$P$2*$C$133*$J$134*$J$135*$J$136/100</f>
        <v>2601.45</v>
      </c>
      <c r="Q101" s="45">
        <f aca="true" t="shared" si="45" ref="Q101:Q125">$A101*$F101*$Q$2*$C$133*$J$134*$J$135*$J$136/100</f>
        <v>2966.922</v>
      </c>
      <c r="R101" s="45">
        <f aca="true" t="shared" si="46" ref="R101:R125">$A101*$F101*$R$2*$C$133*$J$134*$J$135*$J$136/100</f>
        <v>3543.048</v>
      </c>
    </row>
    <row r="102" spans="1:18" ht="12.75">
      <c r="A102" s="50">
        <v>25000</v>
      </c>
      <c r="B102" s="51">
        <v>1.22</v>
      </c>
      <c r="C102" s="51">
        <v>1.35</v>
      </c>
      <c r="D102" s="51">
        <v>1.5</v>
      </c>
      <c r="E102" s="51">
        <v>1.64</v>
      </c>
      <c r="F102" s="51">
        <v>1.79</v>
      </c>
      <c r="G102" s="48">
        <f aca="true" t="shared" si="47" ref="G102:G125">G101+1</f>
        <v>99</v>
      </c>
      <c r="H102" s="45">
        <f t="shared" si="36"/>
        <v>204.96</v>
      </c>
      <c r="I102" s="45">
        <f t="shared" si="37"/>
        <v>496.125</v>
      </c>
      <c r="J102" s="45">
        <f t="shared" si="38"/>
        <v>897.75</v>
      </c>
      <c r="K102" s="45">
        <f t="shared" si="39"/>
        <v>1023.75</v>
      </c>
      <c r="L102" s="45">
        <f t="shared" si="40"/>
        <v>1261.98</v>
      </c>
      <c r="M102" s="45">
        <f t="shared" si="41"/>
        <v>1397.28</v>
      </c>
      <c r="N102" s="45">
        <f t="shared" si="42"/>
        <v>1677.72</v>
      </c>
      <c r="O102" s="45">
        <f t="shared" si="43"/>
        <v>2271.51</v>
      </c>
      <c r="P102" s="45">
        <f t="shared" si="44"/>
        <v>2752.125</v>
      </c>
      <c r="Q102" s="45">
        <f t="shared" si="45"/>
        <v>3138.765</v>
      </c>
      <c r="R102" s="45">
        <f t="shared" si="46"/>
        <v>3748.26</v>
      </c>
    </row>
    <row r="103" spans="1:18" ht="12.75">
      <c r="A103" s="50">
        <v>27500</v>
      </c>
      <c r="B103" s="51">
        <v>1.16</v>
      </c>
      <c r="C103" s="51">
        <v>1.29</v>
      </c>
      <c r="D103" s="51">
        <v>1.42</v>
      </c>
      <c r="E103" s="51">
        <v>1.55</v>
      </c>
      <c r="F103" s="51">
        <v>1.68</v>
      </c>
      <c r="G103" s="48">
        <f t="shared" si="47"/>
        <v>100</v>
      </c>
      <c r="H103" s="45">
        <f t="shared" si="36"/>
        <v>214.368</v>
      </c>
      <c r="I103" s="45">
        <f t="shared" si="37"/>
        <v>521.4825</v>
      </c>
      <c r="J103" s="45">
        <f t="shared" si="38"/>
        <v>934.857</v>
      </c>
      <c r="K103" s="45">
        <f t="shared" si="39"/>
        <v>1066.065</v>
      </c>
      <c r="L103" s="45">
        <f t="shared" si="40"/>
        <v>1311.9975</v>
      </c>
      <c r="M103" s="45">
        <f t="shared" si="41"/>
        <v>1452.66</v>
      </c>
      <c r="N103" s="45">
        <f t="shared" si="42"/>
        <v>1744.215</v>
      </c>
      <c r="O103" s="45">
        <f t="shared" si="43"/>
        <v>2345.112</v>
      </c>
      <c r="P103" s="45">
        <f t="shared" si="44"/>
        <v>2841.3</v>
      </c>
      <c r="Q103" s="45">
        <f t="shared" si="45"/>
        <v>3240.468</v>
      </c>
      <c r="R103" s="45">
        <f t="shared" si="46"/>
        <v>3869.712</v>
      </c>
    </row>
    <row r="104" spans="1:18" ht="12.75">
      <c r="A104" s="50">
        <v>30000</v>
      </c>
      <c r="B104" s="51">
        <v>1.1</v>
      </c>
      <c r="C104" s="51">
        <v>1.22</v>
      </c>
      <c r="D104" s="51">
        <v>1.35</v>
      </c>
      <c r="E104" s="51">
        <v>1.47</v>
      </c>
      <c r="F104" s="51">
        <v>1.61</v>
      </c>
      <c r="G104" s="48">
        <f t="shared" si="47"/>
        <v>101</v>
      </c>
      <c r="H104" s="45">
        <f t="shared" si="36"/>
        <v>221.76</v>
      </c>
      <c r="I104" s="45">
        <f t="shared" si="37"/>
        <v>538.02</v>
      </c>
      <c r="J104" s="45">
        <f t="shared" si="38"/>
        <v>969.57</v>
      </c>
      <c r="K104" s="45">
        <f t="shared" si="39"/>
        <v>1105.65</v>
      </c>
      <c r="L104" s="45">
        <f t="shared" si="40"/>
        <v>1357.398</v>
      </c>
      <c r="M104" s="45">
        <f t="shared" si="41"/>
        <v>1502.928</v>
      </c>
      <c r="N104" s="45">
        <f t="shared" si="42"/>
        <v>1804.5720000000001</v>
      </c>
      <c r="O104" s="45">
        <f t="shared" si="43"/>
        <v>2451.708</v>
      </c>
      <c r="P104" s="45">
        <f t="shared" si="44"/>
        <v>2970.45</v>
      </c>
      <c r="Q104" s="45">
        <f t="shared" si="45"/>
        <v>3387.762</v>
      </c>
      <c r="R104" s="45">
        <f t="shared" si="46"/>
        <v>4045.6079999999997</v>
      </c>
    </row>
    <row r="105" spans="1:18" ht="12.75">
      <c r="A105" s="50">
        <v>32500</v>
      </c>
      <c r="B105" s="51">
        <v>1.05</v>
      </c>
      <c r="C105" s="51">
        <v>1.18</v>
      </c>
      <c r="D105" s="51">
        <v>1.31</v>
      </c>
      <c r="E105" s="51">
        <v>1.44</v>
      </c>
      <c r="F105" s="51">
        <v>1.57</v>
      </c>
      <c r="G105" s="48">
        <f t="shared" si="47"/>
        <v>102</v>
      </c>
      <c r="H105" s="45">
        <f t="shared" si="36"/>
        <v>229.32</v>
      </c>
      <c r="I105" s="45">
        <f t="shared" si="37"/>
        <v>563.745</v>
      </c>
      <c r="J105" s="45">
        <f t="shared" si="38"/>
        <v>1019.2455</v>
      </c>
      <c r="K105" s="45">
        <f t="shared" si="39"/>
        <v>1162.2975</v>
      </c>
      <c r="L105" s="45">
        <f t="shared" si="40"/>
        <v>1440.504</v>
      </c>
      <c r="M105" s="45">
        <f t="shared" si="41"/>
        <v>1594.944</v>
      </c>
      <c r="N105" s="45">
        <f t="shared" si="42"/>
        <v>1915.056</v>
      </c>
      <c r="O105" s="45">
        <f t="shared" si="43"/>
        <v>2590.029</v>
      </c>
      <c r="P105" s="45">
        <f t="shared" si="44"/>
        <v>3138.0375</v>
      </c>
      <c r="Q105" s="45">
        <f t="shared" si="45"/>
        <v>3578.8935</v>
      </c>
      <c r="R105" s="45">
        <f t="shared" si="46"/>
        <v>4273.854</v>
      </c>
    </row>
    <row r="106" spans="1:18" ht="12.75">
      <c r="A106" s="50">
        <v>35000</v>
      </c>
      <c r="B106" s="51">
        <v>1.01</v>
      </c>
      <c r="C106" s="51">
        <v>1.14</v>
      </c>
      <c r="D106" s="51">
        <v>1.26</v>
      </c>
      <c r="E106" s="51">
        <v>1.39</v>
      </c>
      <c r="F106" s="51">
        <v>1.51</v>
      </c>
      <c r="G106" s="48">
        <f t="shared" si="47"/>
        <v>103</v>
      </c>
      <c r="H106" s="45">
        <f t="shared" si="36"/>
        <v>237.55200000000002</v>
      </c>
      <c r="I106" s="45">
        <f t="shared" si="37"/>
        <v>586.53</v>
      </c>
      <c r="J106" s="45">
        <f t="shared" si="38"/>
        <v>1055.7540000000001</v>
      </c>
      <c r="K106" s="45">
        <f t="shared" si="39"/>
        <v>1203.93</v>
      </c>
      <c r="L106" s="45">
        <f t="shared" si="40"/>
        <v>1497.4470000000001</v>
      </c>
      <c r="M106" s="45">
        <f t="shared" si="41"/>
        <v>1657.9920000000002</v>
      </c>
      <c r="N106" s="45">
        <f t="shared" si="42"/>
        <v>1990.7580000000003</v>
      </c>
      <c r="O106" s="45">
        <f t="shared" si="43"/>
        <v>2682.6659999999997</v>
      </c>
      <c r="P106" s="45">
        <f t="shared" si="44"/>
        <v>3250.275</v>
      </c>
      <c r="Q106" s="45">
        <f t="shared" si="45"/>
        <v>3706.8990000000003</v>
      </c>
      <c r="R106" s="45">
        <f t="shared" si="46"/>
        <v>4426.716</v>
      </c>
    </row>
    <row r="107" spans="1:18" ht="12.75">
      <c r="A107" s="50">
        <v>37500</v>
      </c>
      <c r="B107" s="51">
        <v>0.98</v>
      </c>
      <c r="C107" s="51">
        <v>1.1</v>
      </c>
      <c r="D107" s="51">
        <v>1.22</v>
      </c>
      <c r="E107" s="51">
        <v>1.34</v>
      </c>
      <c r="F107" s="51">
        <v>1.46</v>
      </c>
      <c r="G107" s="48">
        <f t="shared" si="47"/>
        <v>104</v>
      </c>
      <c r="H107" s="45">
        <f t="shared" si="36"/>
        <v>246.96</v>
      </c>
      <c r="I107" s="45">
        <f t="shared" si="37"/>
        <v>606.375</v>
      </c>
      <c r="J107" s="45">
        <f t="shared" si="38"/>
        <v>1095.255</v>
      </c>
      <c r="K107" s="45">
        <f t="shared" si="39"/>
        <v>1248.975</v>
      </c>
      <c r="L107" s="45">
        <f t="shared" si="40"/>
        <v>1546.695</v>
      </c>
      <c r="M107" s="45">
        <f t="shared" si="41"/>
        <v>1712.52</v>
      </c>
      <c r="N107" s="45">
        <f t="shared" si="42"/>
        <v>2056.23</v>
      </c>
      <c r="O107" s="45">
        <f t="shared" si="43"/>
        <v>2779.11</v>
      </c>
      <c r="P107" s="45">
        <f t="shared" si="44"/>
        <v>3367.125</v>
      </c>
      <c r="Q107" s="45">
        <f t="shared" si="45"/>
        <v>3840.165</v>
      </c>
      <c r="R107" s="45">
        <f t="shared" si="46"/>
        <v>4585.86</v>
      </c>
    </row>
    <row r="108" spans="1:18" ht="12.75">
      <c r="A108" s="50">
        <v>40000</v>
      </c>
      <c r="B108" s="51">
        <v>0.95</v>
      </c>
      <c r="C108" s="51">
        <v>1.07</v>
      </c>
      <c r="D108" s="51">
        <v>1.18</v>
      </c>
      <c r="E108" s="51">
        <v>1.3</v>
      </c>
      <c r="F108" s="51">
        <v>1.41</v>
      </c>
      <c r="G108" s="48">
        <f t="shared" si="47"/>
        <v>105</v>
      </c>
      <c r="H108" s="45">
        <f t="shared" si="36"/>
        <v>255.36</v>
      </c>
      <c r="I108" s="45">
        <f t="shared" si="37"/>
        <v>629.16</v>
      </c>
      <c r="J108" s="45">
        <f t="shared" si="38"/>
        <v>1129.968</v>
      </c>
      <c r="K108" s="45">
        <f t="shared" si="39"/>
        <v>1288.56</v>
      </c>
      <c r="L108" s="45">
        <f t="shared" si="40"/>
        <v>1600.56</v>
      </c>
      <c r="M108" s="45">
        <f t="shared" si="41"/>
        <v>1772.16</v>
      </c>
      <c r="N108" s="45">
        <f t="shared" si="42"/>
        <v>2127.84</v>
      </c>
      <c r="O108" s="45">
        <f t="shared" si="43"/>
        <v>2862.864</v>
      </c>
      <c r="P108" s="45">
        <f t="shared" si="44"/>
        <v>3468.6</v>
      </c>
      <c r="Q108" s="45">
        <f t="shared" si="45"/>
        <v>3955.896</v>
      </c>
      <c r="R108" s="45">
        <f t="shared" si="46"/>
        <v>4724.064</v>
      </c>
    </row>
    <row r="109" spans="1:18" ht="12.75">
      <c r="A109" s="50">
        <v>42500</v>
      </c>
      <c r="B109" s="51">
        <v>0.92</v>
      </c>
      <c r="C109" s="51">
        <v>1.04</v>
      </c>
      <c r="D109" s="51">
        <v>1.15</v>
      </c>
      <c r="E109" s="51">
        <v>1.26</v>
      </c>
      <c r="F109" s="51">
        <v>1.37</v>
      </c>
      <c r="G109" s="48">
        <f t="shared" si="47"/>
        <v>106</v>
      </c>
      <c r="H109" s="45">
        <f t="shared" si="36"/>
        <v>262.752</v>
      </c>
      <c r="I109" s="45">
        <f t="shared" si="37"/>
        <v>649.74</v>
      </c>
      <c r="J109" s="45">
        <f t="shared" si="38"/>
        <v>1170.0674999999999</v>
      </c>
      <c r="K109" s="45">
        <f t="shared" si="39"/>
        <v>1334.2874999999997</v>
      </c>
      <c r="L109" s="45">
        <f t="shared" si="40"/>
        <v>1648.269</v>
      </c>
      <c r="M109" s="45">
        <f t="shared" si="41"/>
        <v>1824.984</v>
      </c>
      <c r="N109" s="45">
        <f t="shared" si="42"/>
        <v>2191.266</v>
      </c>
      <c r="O109" s="45">
        <f t="shared" si="43"/>
        <v>2955.501</v>
      </c>
      <c r="P109" s="45">
        <f t="shared" si="44"/>
        <v>3580.8375000000005</v>
      </c>
      <c r="Q109" s="45">
        <f t="shared" si="45"/>
        <v>4083.901500000001</v>
      </c>
      <c r="R109" s="45">
        <f t="shared" si="46"/>
        <v>4876.926000000001</v>
      </c>
    </row>
    <row r="110" spans="1:18" ht="12.75">
      <c r="A110" s="50">
        <v>45000</v>
      </c>
      <c r="B110" s="51">
        <v>0.89</v>
      </c>
      <c r="C110" s="51">
        <v>1.01</v>
      </c>
      <c r="D110" s="51">
        <v>1.11</v>
      </c>
      <c r="E110" s="51">
        <v>1.23</v>
      </c>
      <c r="F110" s="51">
        <v>1.33</v>
      </c>
      <c r="G110" s="48">
        <f t="shared" si="47"/>
        <v>107</v>
      </c>
      <c r="H110" s="45">
        <f t="shared" si="36"/>
        <v>269.136</v>
      </c>
      <c r="I110" s="45">
        <f t="shared" si="37"/>
        <v>668.115</v>
      </c>
      <c r="J110" s="45">
        <f t="shared" si="38"/>
        <v>1195.8030000000003</v>
      </c>
      <c r="K110" s="45">
        <f t="shared" si="39"/>
        <v>1363.6350000000002</v>
      </c>
      <c r="L110" s="45">
        <f t="shared" si="40"/>
        <v>1703.6730000000002</v>
      </c>
      <c r="M110" s="45">
        <f t="shared" si="41"/>
        <v>1886.3280000000002</v>
      </c>
      <c r="N110" s="45">
        <f t="shared" si="42"/>
        <v>2264.922</v>
      </c>
      <c r="O110" s="45">
        <f t="shared" si="43"/>
        <v>3037.9860000000003</v>
      </c>
      <c r="P110" s="45">
        <f t="shared" si="44"/>
        <v>3680.775</v>
      </c>
      <c r="Q110" s="45">
        <f t="shared" si="45"/>
        <v>4197.879</v>
      </c>
      <c r="R110" s="45">
        <f t="shared" si="46"/>
        <v>5013.036</v>
      </c>
    </row>
    <row r="111" spans="1:18" ht="12.75">
      <c r="A111" s="50">
        <v>47500</v>
      </c>
      <c r="B111" s="51">
        <v>0.87</v>
      </c>
      <c r="C111" s="51">
        <v>0.98</v>
      </c>
      <c r="D111" s="51">
        <v>1.08</v>
      </c>
      <c r="E111" s="51">
        <v>1.19</v>
      </c>
      <c r="F111" s="51">
        <v>1.3</v>
      </c>
      <c r="G111" s="48">
        <f t="shared" si="47"/>
        <v>108</v>
      </c>
      <c r="H111" s="45">
        <f t="shared" si="36"/>
        <v>277.704</v>
      </c>
      <c r="I111" s="45">
        <f t="shared" si="37"/>
        <v>684.285</v>
      </c>
      <c r="J111" s="45">
        <f t="shared" si="38"/>
        <v>1228.122</v>
      </c>
      <c r="K111" s="45">
        <f t="shared" si="39"/>
        <v>1400.49</v>
      </c>
      <c r="L111" s="45">
        <f t="shared" si="40"/>
        <v>1739.8395</v>
      </c>
      <c r="M111" s="45">
        <f t="shared" si="41"/>
        <v>1926.372</v>
      </c>
      <c r="N111" s="45">
        <f t="shared" si="42"/>
        <v>2313.003</v>
      </c>
      <c r="O111" s="45">
        <f t="shared" si="43"/>
        <v>3134.43</v>
      </c>
      <c r="P111" s="45">
        <f t="shared" si="44"/>
        <v>3797.625</v>
      </c>
      <c r="Q111" s="45">
        <f t="shared" si="45"/>
        <v>4331.145</v>
      </c>
      <c r="R111" s="45">
        <f t="shared" si="46"/>
        <v>5172.18</v>
      </c>
    </row>
    <row r="112" spans="1:18" ht="12.75">
      <c r="A112" s="50">
        <v>50000</v>
      </c>
      <c r="B112" s="51">
        <v>0.85</v>
      </c>
      <c r="C112" s="51">
        <v>0.96</v>
      </c>
      <c r="D112" s="51">
        <v>1.05</v>
      </c>
      <c r="E112" s="51">
        <v>1.16</v>
      </c>
      <c r="F112" s="51">
        <v>1.26</v>
      </c>
      <c r="G112" s="48">
        <f t="shared" si="47"/>
        <v>109</v>
      </c>
      <c r="H112" s="45">
        <f t="shared" si="36"/>
        <v>285.6</v>
      </c>
      <c r="I112" s="45">
        <f t="shared" si="37"/>
        <v>705.6</v>
      </c>
      <c r="J112" s="45">
        <f t="shared" si="38"/>
        <v>1256.85</v>
      </c>
      <c r="K112" s="45">
        <f t="shared" si="39"/>
        <v>1433.25</v>
      </c>
      <c r="L112" s="45">
        <f t="shared" si="40"/>
        <v>1785.2399999999998</v>
      </c>
      <c r="M112" s="45">
        <f t="shared" si="41"/>
        <v>1976.6399999999996</v>
      </c>
      <c r="N112" s="45">
        <f t="shared" si="42"/>
        <v>2373.3599999999997</v>
      </c>
      <c r="O112" s="45">
        <f t="shared" si="43"/>
        <v>3197.88</v>
      </c>
      <c r="P112" s="45">
        <f t="shared" si="44"/>
        <v>3874.5</v>
      </c>
      <c r="Q112" s="45">
        <f t="shared" si="45"/>
        <v>4418.82</v>
      </c>
      <c r="R112" s="45">
        <f t="shared" si="46"/>
        <v>5276.88</v>
      </c>
    </row>
    <row r="113" spans="1:18" ht="12.75">
      <c r="A113" s="50">
        <v>52500</v>
      </c>
      <c r="B113" s="51">
        <v>0.83</v>
      </c>
      <c r="C113" s="51">
        <v>0.93</v>
      </c>
      <c r="D113" s="51">
        <v>1.03</v>
      </c>
      <c r="E113" s="51">
        <v>1.14</v>
      </c>
      <c r="F113" s="51">
        <v>1.23</v>
      </c>
      <c r="G113" s="48">
        <f t="shared" si="47"/>
        <v>110</v>
      </c>
      <c r="H113" s="45">
        <f t="shared" si="36"/>
        <v>292.824</v>
      </c>
      <c r="I113" s="45">
        <f t="shared" si="37"/>
        <v>717.7275</v>
      </c>
      <c r="J113" s="45">
        <f t="shared" si="38"/>
        <v>1294.5555</v>
      </c>
      <c r="K113" s="45">
        <f t="shared" si="39"/>
        <v>1476.2475</v>
      </c>
      <c r="L113" s="45">
        <f t="shared" si="40"/>
        <v>1842.183</v>
      </c>
      <c r="M113" s="45">
        <f t="shared" si="41"/>
        <v>2039.6879999999996</v>
      </c>
      <c r="N113" s="45">
        <f t="shared" si="42"/>
        <v>2449.0619999999994</v>
      </c>
      <c r="O113" s="45">
        <f t="shared" si="43"/>
        <v>3277.827</v>
      </c>
      <c r="P113" s="45">
        <f t="shared" si="44"/>
        <v>3971.3625</v>
      </c>
      <c r="Q113" s="45">
        <f t="shared" si="45"/>
        <v>4529.2905</v>
      </c>
      <c r="R113" s="45">
        <f t="shared" si="46"/>
        <v>5408.802</v>
      </c>
    </row>
    <row r="114" spans="1:18" ht="12.75">
      <c r="A114" s="50">
        <v>55000</v>
      </c>
      <c r="B114" s="51">
        <v>0.81</v>
      </c>
      <c r="C114" s="51">
        <v>0.91</v>
      </c>
      <c r="D114" s="51">
        <v>1</v>
      </c>
      <c r="E114" s="51">
        <v>1.11</v>
      </c>
      <c r="F114" s="51">
        <v>1.2</v>
      </c>
      <c r="G114" s="48">
        <f t="shared" si="47"/>
        <v>111</v>
      </c>
      <c r="H114" s="45">
        <f t="shared" si="36"/>
        <v>299.37600000000003</v>
      </c>
      <c r="I114" s="45">
        <f t="shared" si="37"/>
        <v>735.735</v>
      </c>
      <c r="J114" s="45">
        <f t="shared" si="38"/>
        <v>1316.7</v>
      </c>
      <c r="K114" s="45">
        <f t="shared" si="39"/>
        <v>1501.5</v>
      </c>
      <c r="L114" s="45">
        <f t="shared" si="40"/>
        <v>1879.1190000000001</v>
      </c>
      <c r="M114" s="45">
        <f t="shared" si="41"/>
        <v>2080.5840000000007</v>
      </c>
      <c r="N114" s="45">
        <f t="shared" si="42"/>
        <v>2498.1660000000006</v>
      </c>
      <c r="O114" s="45">
        <f t="shared" si="43"/>
        <v>3350.16</v>
      </c>
      <c r="P114" s="45">
        <f t="shared" si="44"/>
        <v>4059</v>
      </c>
      <c r="Q114" s="45">
        <f t="shared" si="45"/>
        <v>4629.24</v>
      </c>
      <c r="R114" s="45">
        <f t="shared" si="46"/>
        <v>5528.16</v>
      </c>
    </row>
    <row r="115" spans="1:18" ht="12.75">
      <c r="A115" s="50">
        <v>57500</v>
      </c>
      <c r="B115" s="51">
        <v>0.79</v>
      </c>
      <c r="C115" s="51">
        <v>0.89</v>
      </c>
      <c r="D115" s="51">
        <v>0.98</v>
      </c>
      <c r="E115" s="51">
        <v>1.09</v>
      </c>
      <c r="F115" s="51">
        <v>1.18</v>
      </c>
      <c r="G115" s="48">
        <f t="shared" si="47"/>
        <v>112</v>
      </c>
      <c r="H115" s="45">
        <f t="shared" si="36"/>
        <v>305.25600000000003</v>
      </c>
      <c r="I115" s="45">
        <f t="shared" si="37"/>
        <v>752.2725</v>
      </c>
      <c r="J115" s="45">
        <f t="shared" si="38"/>
        <v>1349.019</v>
      </c>
      <c r="K115" s="45">
        <f t="shared" si="39"/>
        <v>1538.355</v>
      </c>
      <c r="L115" s="45">
        <f t="shared" si="40"/>
        <v>1929.1365000000003</v>
      </c>
      <c r="M115" s="45">
        <f t="shared" si="41"/>
        <v>2135.9640000000004</v>
      </c>
      <c r="N115" s="45">
        <f t="shared" si="42"/>
        <v>2564.6610000000005</v>
      </c>
      <c r="O115" s="45">
        <f t="shared" si="43"/>
        <v>3444.0660000000003</v>
      </c>
      <c r="P115" s="45">
        <f t="shared" si="44"/>
        <v>4172.775</v>
      </c>
      <c r="Q115" s="45">
        <f t="shared" si="45"/>
        <v>4758.999</v>
      </c>
      <c r="R115" s="45">
        <f t="shared" si="46"/>
        <v>5683.116</v>
      </c>
    </row>
    <row r="116" spans="1:18" ht="12.75">
      <c r="A116" s="50">
        <v>60000</v>
      </c>
      <c r="B116" s="51">
        <v>0.77</v>
      </c>
      <c r="C116" s="51">
        <v>0.87</v>
      </c>
      <c r="D116" s="51">
        <v>0.96</v>
      </c>
      <c r="E116" s="51">
        <v>1.05</v>
      </c>
      <c r="F116" s="51">
        <v>1.15</v>
      </c>
      <c r="G116" s="48">
        <f t="shared" si="47"/>
        <v>113</v>
      </c>
      <c r="H116" s="45">
        <f t="shared" si="36"/>
        <v>310.464</v>
      </c>
      <c r="I116" s="45">
        <f t="shared" si="37"/>
        <v>767.34</v>
      </c>
      <c r="J116" s="45">
        <f t="shared" si="38"/>
        <v>1378.944</v>
      </c>
      <c r="K116" s="45">
        <f t="shared" si="39"/>
        <v>1572.48</v>
      </c>
      <c r="L116" s="45">
        <f t="shared" si="40"/>
        <v>1939.14</v>
      </c>
      <c r="M116" s="45">
        <f t="shared" si="41"/>
        <v>2147.04</v>
      </c>
      <c r="N116" s="45">
        <f t="shared" si="42"/>
        <v>2577.96</v>
      </c>
      <c r="O116" s="45">
        <f t="shared" si="43"/>
        <v>3502.44</v>
      </c>
      <c r="P116" s="45">
        <f t="shared" si="44"/>
        <v>4243.5</v>
      </c>
      <c r="Q116" s="45">
        <f t="shared" si="45"/>
        <v>4839.66</v>
      </c>
      <c r="R116" s="45">
        <f t="shared" si="46"/>
        <v>5779.44</v>
      </c>
    </row>
    <row r="117" spans="1:18" ht="12.75">
      <c r="A117" s="50">
        <v>62500</v>
      </c>
      <c r="B117" s="51">
        <v>0.76</v>
      </c>
      <c r="C117" s="51">
        <v>0.85</v>
      </c>
      <c r="D117" s="51">
        <v>0.94</v>
      </c>
      <c r="E117" s="51">
        <v>1.04</v>
      </c>
      <c r="F117" s="51">
        <v>1.13</v>
      </c>
      <c r="G117" s="48">
        <f t="shared" si="47"/>
        <v>114</v>
      </c>
      <c r="H117" s="45">
        <f t="shared" si="36"/>
        <v>319.2</v>
      </c>
      <c r="I117" s="45">
        <f t="shared" si="37"/>
        <v>780.9375</v>
      </c>
      <c r="J117" s="45">
        <f t="shared" si="38"/>
        <v>1406.475</v>
      </c>
      <c r="K117" s="45">
        <f t="shared" si="39"/>
        <v>1603.875</v>
      </c>
      <c r="L117" s="45">
        <f t="shared" si="40"/>
        <v>2000.7</v>
      </c>
      <c r="M117" s="45">
        <f t="shared" si="41"/>
        <v>2215.2</v>
      </c>
      <c r="N117" s="45">
        <f t="shared" si="42"/>
        <v>2659.8</v>
      </c>
      <c r="O117" s="45">
        <f t="shared" si="43"/>
        <v>3584.925</v>
      </c>
      <c r="P117" s="45">
        <f t="shared" si="44"/>
        <v>4343.4375</v>
      </c>
      <c r="Q117" s="45">
        <f t="shared" si="45"/>
        <v>4953.6375</v>
      </c>
      <c r="R117" s="45">
        <f t="shared" si="46"/>
        <v>5915.55</v>
      </c>
    </row>
    <row r="118" spans="1:18" ht="12.75">
      <c r="A118" s="50">
        <v>65000</v>
      </c>
      <c r="B118" s="51">
        <v>0.74</v>
      </c>
      <c r="C118" s="51">
        <v>0.84</v>
      </c>
      <c r="D118" s="51">
        <v>0.93</v>
      </c>
      <c r="E118" s="51">
        <v>1.02</v>
      </c>
      <c r="F118" s="51">
        <v>1.11</v>
      </c>
      <c r="G118" s="48">
        <f t="shared" si="47"/>
        <v>115</v>
      </c>
      <c r="H118" s="45">
        <f t="shared" si="36"/>
        <v>323.232</v>
      </c>
      <c r="I118" s="45">
        <f t="shared" si="37"/>
        <v>802.62</v>
      </c>
      <c r="J118" s="45">
        <f t="shared" si="38"/>
        <v>1447.1730000000002</v>
      </c>
      <c r="K118" s="45">
        <f t="shared" si="39"/>
        <v>1650.285</v>
      </c>
      <c r="L118" s="45">
        <f t="shared" si="40"/>
        <v>2040.714</v>
      </c>
      <c r="M118" s="45">
        <f t="shared" si="41"/>
        <v>2259.504</v>
      </c>
      <c r="N118" s="45">
        <f t="shared" si="42"/>
        <v>2712.9959999999996</v>
      </c>
      <c r="O118" s="45">
        <f t="shared" si="43"/>
        <v>3662.3340000000003</v>
      </c>
      <c r="P118" s="45">
        <f t="shared" si="44"/>
        <v>4437.225</v>
      </c>
      <c r="Q118" s="45">
        <f t="shared" si="45"/>
        <v>5060.601000000001</v>
      </c>
      <c r="R118" s="45">
        <f t="shared" si="46"/>
        <v>6043.284000000001</v>
      </c>
    </row>
    <row r="119" spans="1:18" ht="12.75">
      <c r="A119" s="50">
        <v>67500</v>
      </c>
      <c r="B119" s="51">
        <v>0.73</v>
      </c>
      <c r="C119" s="51">
        <v>0.82</v>
      </c>
      <c r="D119" s="51">
        <v>0.91</v>
      </c>
      <c r="E119" s="51">
        <v>1</v>
      </c>
      <c r="F119" s="51">
        <v>1.09</v>
      </c>
      <c r="G119" s="48">
        <f t="shared" si="47"/>
        <v>116</v>
      </c>
      <c r="H119" s="45">
        <f t="shared" si="36"/>
        <v>331.12800000000004</v>
      </c>
      <c r="I119" s="45">
        <f t="shared" si="37"/>
        <v>813.645</v>
      </c>
      <c r="J119" s="45">
        <f t="shared" si="38"/>
        <v>1470.5145000000002</v>
      </c>
      <c r="K119" s="45">
        <f t="shared" si="39"/>
        <v>1676.9025</v>
      </c>
      <c r="L119" s="45">
        <f t="shared" si="40"/>
        <v>2077.65</v>
      </c>
      <c r="M119" s="45">
        <f t="shared" si="41"/>
        <v>2300.4</v>
      </c>
      <c r="N119" s="45">
        <f t="shared" si="42"/>
        <v>2762.1</v>
      </c>
      <c r="O119" s="45">
        <f t="shared" si="43"/>
        <v>3734.667</v>
      </c>
      <c r="P119" s="45">
        <f t="shared" si="44"/>
        <v>4524.8625</v>
      </c>
      <c r="Q119" s="45">
        <f t="shared" si="45"/>
        <v>5160.5505</v>
      </c>
      <c r="R119" s="45">
        <f t="shared" si="46"/>
        <v>6162.642000000001</v>
      </c>
    </row>
    <row r="120" spans="1:18" ht="12.75">
      <c r="A120" s="50">
        <v>70000</v>
      </c>
      <c r="B120" s="51">
        <v>0.72</v>
      </c>
      <c r="C120" s="51">
        <v>0.81</v>
      </c>
      <c r="D120" s="51">
        <v>0.89</v>
      </c>
      <c r="E120" s="51">
        <v>0.98</v>
      </c>
      <c r="F120" s="51">
        <v>1.07</v>
      </c>
      <c r="G120" s="48">
        <f t="shared" si="47"/>
        <v>117</v>
      </c>
      <c r="H120" s="45">
        <f t="shared" si="36"/>
        <v>338.68800000000005</v>
      </c>
      <c r="I120" s="45">
        <f t="shared" si="37"/>
        <v>833.4900000000001</v>
      </c>
      <c r="J120" s="45">
        <f t="shared" si="38"/>
        <v>1491.4620000000002</v>
      </c>
      <c r="K120" s="45">
        <f t="shared" si="39"/>
        <v>1700.79</v>
      </c>
      <c r="L120" s="45">
        <f t="shared" si="40"/>
        <v>2111.5080000000003</v>
      </c>
      <c r="M120" s="45">
        <f t="shared" si="41"/>
        <v>2337.8880000000004</v>
      </c>
      <c r="N120" s="45">
        <f t="shared" si="42"/>
        <v>2807.112</v>
      </c>
      <c r="O120" s="45">
        <f t="shared" si="43"/>
        <v>3801.9240000000004</v>
      </c>
      <c r="P120" s="45">
        <f t="shared" si="44"/>
        <v>4606.35</v>
      </c>
      <c r="Q120" s="45">
        <f t="shared" si="45"/>
        <v>5253.486</v>
      </c>
      <c r="R120" s="45">
        <f t="shared" si="46"/>
        <v>6273.624</v>
      </c>
    </row>
    <row r="121" spans="1:18" ht="12.75">
      <c r="A121" s="50">
        <v>72500</v>
      </c>
      <c r="B121" s="51">
        <v>0.7</v>
      </c>
      <c r="C121" s="51">
        <v>0.79</v>
      </c>
      <c r="D121" s="51">
        <v>0.88</v>
      </c>
      <c r="E121" s="51">
        <v>0.97</v>
      </c>
      <c r="F121" s="51">
        <v>1.05</v>
      </c>
      <c r="G121" s="48">
        <f t="shared" si="47"/>
        <v>118</v>
      </c>
      <c r="H121" s="45">
        <f t="shared" si="36"/>
        <v>341.04</v>
      </c>
      <c r="I121" s="45">
        <f t="shared" si="37"/>
        <v>841.9425</v>
      </c>
      <c r="J121" s="45">
        <f t="shared" si="38"/>
        <v>1527.372</v>
      </c>
      <c r="K121" s="45">
        <f t="shared" si="39"/>
        <v>1741.74</v>
      </c>
      <c r="L121" s="45">
        <f t="shared" si="40"/>
        <v>2164.6035</v>
      </c>
      <c r="M121" s="45">
        <f t="shared" si="41"/>
        <v>2396.676</v>
      </c>
      <c r="N121" s="45">
        <f t="shared" si="42"/>
        <v>2877.699</v>
      </c>
      <c r="O121" s="45">
        <f t="shared" si="43"/>
        <v>3864.105</v>
      </c>
      <c r="P121" s="45">
        <f t="shared" si="44"/>
        <v>4681.6875</v>
      </c>
      <c r="Q121" s="45">
        <f t="shared" si="45"/>
        <v>5339.4075</v>
      </c>
      <c r="R121" s="45">
        <f t="shared" si="46"/>
        <v>6376.23</v>
      </c>
    </row>
    <row r="122" spans="1:18" ht="12.75">
      <c r="A122" s="50">
        <v>75000</v>
      </c>
      <c r="B122" s="51">
        <v>0.69</v>
      </c>
      <c r="C122" s="51">
        <v>0.78</v>
      </c>
      <c r="D122" s="51">
        <v>0.86</v>
      </c>
      <c r="E122" s="51">
        <v>0.95</v>
      </c>
      <c r="F122" s="51">
        <v>1.03</v>
      </c>
      <c r="G122" s="48">
        <f t="shared" si="47"/>
        <v>119</v>
      </c>
      <c r="H122" s="45">
        <f t="shared" si="36"/>
        <v>347.75999999999993</v>
      </c>
      <c r="I122" s="45">
        <f t="shared" si="37"/>
        <v>859.95</v>
      </c>
      <c r="J122" s="45">
        <f t="shared" si="38"/>
        <v>1544.13</v>
      </c>
      <c r="K122" s="45">
        <f t="shared" si="39"/>
        <v>1760.85</v>
      </c>
      <c r="L122" s="45">
        <f t="shared" si="40"/>
        <v>2193.075</v>
      </c>
      <c r="M122" s="45">
        <f t="shared" si="41"/>
        <v>2428.2</v>
      </c>
      <c r="N122" s="45">
        <f t="shared" si="42"/>
        <v>2915.55</v>
      </c>
      <c r="O122" s="45">
        <f t="shared" si="43"/>
        <v>3921.21</v>
      </c>
      <c r="P122" s="45">
        <f t="shared" si="44"/>
        <v>4750.875</v>
      </c>
      <c r="Q122" s="45">
        <f t="shared" si="45"/>
        <v>5418.315</v>
      </c>
      <c r="R122" s="45">
        <f t="shared" si="46"/>
        <v>6470.46</v>
      </c>
    </row>
    <row r="123" spans="1:18" ht="12.75">
      <c r="A123" s="50">
        <v>77500</v>
      </c>
      <c r="B123" s="51">
        <v>0.68</v>
      </c>
      <c r="C123" s="51">
        <v>0.77</v>
      </c>
      <c r="D123" s="51">
        <v>0.85</v>
      </c>
      <c r="E123" s="51">
        <v>0.93</v>
      </c>
      <c r="F123" s="51">
        <v>1.02</v>
      </c>
      <c r="G123" s="48">
        <f t="shared" si="47"/>
        <v>120</v>
      </c>
      <c r="H123" s="45">
        <f t="shared" si="36"/>
        <v>354.14400000000006</v>
      </c>
      <c r="I123" s="45">
        <f t="shared" si="37"/>
        <v>877.2225</v>
      </c>
      <c r="J123" s="45">
        <f t="shared" si="38"/>
        <v>1577.0475</v>
      </c>
      <c r="K123" s="45">
        <f t="shared" si="39"/>
        <v>1798.3875</v>
      </c>
      <c r="L123" s="45">
        <f t="shared" si="40"/>
        <v>2218.4685</v>
      </c>
      <c r="M123" s="45">
        <f t="shared" si="41"/>
        <v>2456.3160000000003</v>
      </c>
      <c r="N123" s="45">
        <f t="shared" si="42"/>
        <v>2949.309</v>
      </c>
      <c r="O123" s="45">
        <f t="shared" si="43"/>
        <v>4012.578</v>
      </c>
      <c r="P123" s="45">
        <f t="shared" si="44"/>
        <v>4861.575</v>
      </c>
      <c r="Q123" s="45">
        <f t="shared" si="45"/>
        <v>5544.566999999999</v>
      </c>
      <c r="R123" s="45">
        <f t="shared" si="46"/>
        <v>6621.228</v>
      </c>
    </row>
    <row r="124" spans="1:18" ht="12.75">
      <c r="A124" s="50">
        <v>80000</v>
      </c>
      <c r="B124" s="51">
        <v>0.67</v>
      </c>
      <c r="C124" s="51">
        <v>0.75</v>
      </c>
      <c r="D124" s="51">
        <v>0.83</v>
      </c>
      <c r="E124" s="51">
        <v>0.92</v>
      </c>
      <c r="F124" s="51">
        <v>1</v>
      </c>
      <c r="G124" s="48">
        <f t="shared" si="47"/>
        <v>121</v>
      </c>
      <c r="H124" s="45">
        <f t="shared" si="36"/>
        <v>360.19200000000006</v>
      </c>
      <c r="I124" s="45">
        <f t="shared" si="37"/>
        <v>882</v>
      </c>
      <c r="J124" s="45">
        <f t="shared" si="38"/>
        <v>1589.616</v>
      </c>
      <c r="K124" s="45">
        <f t="shared" si="39"/>
        <v>1812.72</v>
      </c>
      <c r="L124" s="45">
        <f t="shared" si="40"/>
        <v>2265.4080000000004</v>
      </c>
      <c r="M124" s="45">
        <f t="shared" si="41"/>
        <v>2508.288</v>
      </c>
      <c r="N124" s="45">
        <f t="shared" si="42"/>
        <v>3011.712</v>
      </c>
      <c r="O124" s="45">
        <f t="shared" si="43"/>
        <v>4060.8</v>
      </c>
      <c r="P124" s="45">
        <f t="shared" si="44"/>
        <v>4920</v>
      </c>
      <c r="Q124" s="45">
        <f t="shared" si="45"/>
        <v>5611.2</v>
      </c>
      <c r="R124" s="45">
        <f t="shared" si="46"/>
        <v>6700.8</v>
      </c>
    </row>
    <row r="125" spans="1:18" ht="12.75" customHeight="1" hidden="1">
      <c r="A125" s="54">
        <v>1000000</v>
      </c>
      <c r="B125" s="51">
        <v>0.67</v>
      </c>
      <c r="C125" s="51">
        <v>0.75</v>
      </c>
      <c r="D125" s="51">
        <v>0.83</v>
      </c>
      <c r="E125" s="51">
        <v>0.92</v>
      </c>
      <c r="F125" s="51">
        <v>1</v>
      </c>
      <c r="G125" s="48">
        <f t="shared" si="47"/>
        <v>122</v>
      </c>
      <c r="H125" s="45">
        <f t="shared" si="36"/>
        <v>4502.4</v>
      </c>
      <c r="I125" s="45">
        <f t="shared" si="37"/>
        <v>11025</v>
      </c>
      <c r="J125" s="45">
        <f t="shared" si="38"/>
        <v>19870.2</v>
      </c>
      <c r="K125" s="45">
        <f t="shared" si="39"/>
        <v>22659</v>
      </c>
      <c r="L125" s="45">
        <f t="shared" si="40"/>
        <v>28317.6</v>
      </c>
      <c r="M125" s="45">
        <f t="shared" si="41"/>
        <v>31353.6</v>
      </c>
      <c r="N125" s="45">
        <f t="shared" si="42"/>
        <v>37646.4</v>
      </c>
      <c r="O125" s="45">
        <f t="shared" si="43"/>
        <v>50760</v>
      </c>
      <c r="P125" s="45">
        <f t="shared" si="44"/>
        <v>61500</v>
      </c>
      <c r="Q125" s="45">
        <f t="shared" si="45"/>
        <v>70140</v>
      </c>
      <c r="R125" s="45">
        <f t="shared" si="46"/>
        <v>83760</v>
      </c>
    </row>
    <row r="126" spans="1:15" ht="10.5" customHeight="1">
      <c r="A126" s="54"/>
      <c r="B126" s="55"/>
      <c r="C126" s="55"/>
      <c r="D126" s="55"/>
      <c r="E126" s="55"/>
      <c r="F126" s="55"/>
      <c r="G126" s="56"/>
      <c r="H126" s="54"/>
      <c r="I126" s="54"/>
      <c r="J126" s="54"/>
      <c r="K126" s="54"/>
      <c r="L126" s="54"/>
      <c r="M126" s="54"/>
      <c r="N126" s="54"/>
      <c r="O126" s="54"/>
    </row>
    <row r="127" spans="1:15" ht="10.5" customHeight="1">
      <c r="A127" s="57" t="s">
        <v>45</v>
      </c>
      <c r="B127" s="58"/>
      <c r="C127" s="58"/>
      <c r="D127" s="58"/>
      <c r="E127" s="58"/>
      <c r="F127" s="58"/>
      <c r="G127" s="59"/>
      <c r="H127" s="60"/>
      <c r="I127" s="54"/>
      <c r="J127" s="54"/>
      <c r="K127" s="54"/>
      <c r="L127" s="54"/>
      <c r="M127" s="54"/>
      <c r="N127" s="54"/>
      <c r="O127" s="54"/>
    </row>
    <row r="128" spans="1:15" ht="10.5" customHeight="1">
      <c r="A128" s="57" t="s">
        <v>46</v>
      </c>
      <c r="B128" s="58"/>
      <c r="C128" s="58"/>
      <c r="D128" s="58"/>
      <c r="E128" s="58"/>
      <c r="F128" s="58"/>
      <c r="G128" s="59"/>
      <c r="H128" s="60"/>
      <c r="I128" s="54"/>
      <c r="J128" s="54"/>
      <c r="K128" s="54"/>
      <c r="L128" s="54"/>
      <c r="M128" s="54"/>
      <c r="N128" s="54"/>
      <c r="O128" s="54"/>
    </row>
    <row r="129" spans="1:15" ht="10.5" customHeight="1">
      <c r="A129" s="57" t="s">
        <v>47</v>
      </c>
      <c r="B129" s="58"/>
      <c r="C129" s="58"/>
      <c r="D129" s="58"/>
      <c r="E129" s="58"/>
      <c r="F129" s="58"/>
      <c r="G129" s="59"/>
      <c r="H129" s="60"/>
      <c r="I129" s="54"/>
      <c r="J129" s="54"/>
      <c r="K129" s="54"/>
      <c r="L129" s="54"/>
      <c r="M129" s="54"/>
      <c r="N129" s="54"/>
      <c r="O129" s="54"/>
    </row>
    <row r="130" spans="1:15" ht="10.5" customHeight="1">
      <c r="A130" s="57" t="s">
        <v>48</v>
      </c>
      <c r="B130" s="58"/>
      <c r="C130" s="58"/>
      <c r="D130" s="58"/>
      <c r="E130" s="58"/>
      <c r="F130" s="58"/>
      <c r="G130" s="59"/>
      <c r="H130" s="60"/>
      <c r="I130" s="54"/>
      <c r="J130" s="54"/>
      <c r="K130" s="54"/>
      <c r="L130" s="54"/>
      <c r="M130" s="54"/>
      <c r="N130" s="54"/>
      <c r="O130" s="54"/>
    </row>
    <row r="131" spans="1:15" ht="10.5" customHeight="1">
      <c r="A131" s="57" t="s">
        <v>49</v>
      </c>
      <c r="B131" s="58"/>
      <c r="C131" s="58"/>
      <c r="D131" s="58"/>
      <c r="E131" s="58"/>
      <c r="F131" s="58"/>
      <c r="G131" s="59"/>
      <c r="H131" s="60"/>
      <c r="I131" s="54"/>
      <c r="J131" s="54"/>
      <c r="K131" s="54"/>
      <c r="L131" s="54"/>
      <c r="M131" s="54"/>
      <c r="N131" s="54"/>
      <c r="O131" s="54"/>
    </row>
    <row r="132" spans="1:15" ht="6" customHeight="1">
      <c r="A132" s="54"/>
      <c r="B132" s="55"/>
      <c r="C132" s="55"/>
      <c r="D132" s="55"/>
      <c r="E132" s="55"/>
      <c r="F132" s="55"/>
      <c r="G132" s="56"/>
      <c r="H132" s="54"/>
      <c r="I132" s="54"/>
      <c r="J132" s="54"/>
      <c r="K132" s="54"/>
      <c r="L132" s="54"/>
      <c r="M132" s="54"/>
      <c r="N132" s="54"/>
      <c r="O132" s="54"/>
    </row>
    <row r="133" spans="1:15" ht="12.75">
      <c r="A133" s="26" t="s">
        <v>50</v>
      </c>
      <c r="C133" s="61">
        <f>(J133*0.01)/0.25</f>
        <v>0.024</v>
      </c>
      <c r="D133" s="61"/>
      <c r="E133" s="61"/>
      <c r="F133" s="61"/>
      <c r="G133" s="61"/>
      <c r="H133" s="61"/>
      <c r="I133" s="61"/>
      <c r="J133" s="62">
        <v>0.6</v>
      </c>
      <c r="K133" s="54"/>
      <c r="L133" s="54"/>
      <c r="M133" s="54"/>
      <c r="N133" s="54"/>
      <c r="O133" s="54"/>
    </row>
    <row r="134" spans="1:16" ht="12.75" hidden="1">
      <c r="A134" s="26" t="s">
        <v>51</v>
      </c>
      <c r="D134"/>
      <c r="J134" s="63">
        <v>0.5</v>
      </c>
      <c r="K134" s="54"/>
      <c r="L134" s="54"/>
      <c r="M134" s="54"/>
      <c r="N134" s="54"/>
      <c r="O134" s="54"/>
      <c r="P134" s="54"/>
    </row>
    <row r="135" spans="1:17" ht="12.75">
      <c r="A135" s="26" t="s">
        <v>52</v>
      </c>
      <c r="D135"/>
      <c r="J135" s="63">
        <v>1</v>
      </c>
      <c r="K135" s="54"/>
      <c r="L135" s="54"/>
      <c r="M135" s="64"/>
      <c r="N135" s="64"/>
      <c r="O135" s="64"/>
      <c r="P135" s="65"/>
      <c r="Q135" s="65"/>
    </row>
    <row r="136" spans="1:16" ht="12.75" hidden="1">
      <c r="A136" s="26" t="s">
        <v>53</v>
      </c>
      <c r="D136"/>
      <c r="J136" s="27">
        <v>0.5</v>
      </c>
      <c r="K136" s="54"/>
      <c r="L136" s="54"/>
      <c r="M136" s="54"/>
      <c r="N136" s="54"/>
      <c r="O136" s="54"/>
      <c r="P136" s="54"/>
    </row>
    <row r="137" spans="4:15" ht="6" customHeight="1">
      <c r="D137"/>
      <c r="I137" s="27"/>
      <c r="J137" s="54"/>
      <c r="K137" s="54"/>
      <c r="L137" s="54"/>
      <c r="M137" s="54"/>
      <c r="N137" s="54"/>
      <c r="O137" s="54"/>
    </row>
    <row r="138" spans="1:17" ht="12.75">
      <c r="A138" s="66" t="s">
        <v>54</v>
      </c>
      <c r="M138" s="66" t="s">
        <v>55</v>
      </c>
      <c r="P138" s="67"/>
      <c r="Q138" s="67"/>
    </row>
    <row r="139" spans="1:20" ht="12.75">
      <c r="A139" s="26" t="s">
        <v>56</v>
      </c>
      <c r="K139" s="68">
        <v>1</v>
      </c>
      <c r="L139" s="67"/>
      <c r="M139" s="26" t="s">
        <v>56</v>
      </c>
      <c r="N139" s="27"/>
      <c r="O139" s="27"/>
      <c r="P139" s="27"/>
      <c r="Q139" s="68">
        <v>1</v>
      </c>
      <c r="R139" s="67"/>
      <c r="S139" s="27"/>
      <c r="T139" s="28"/>
    </row>
    <row r="140" spans="1:20" ht="12.75">
      <c r="A140" s="26" t="s">
        <v>57</v>
      </c>
      <c r="K140" s="68">
        <v>0.5</v>
      </c>
      <c r="L140" s="67"/>
      <c r="M140" s="26" t="s">
        <v>57</v>
      </c>
      <c r="N140" s="27"/>
      <c r="O140" s="27"/>
      <c r="P140" s="27"/>
      <c r="Q140" s="68">
        <v>1</v>
      </c>
      <c r="S140" s="27"/>
      <c r="T140" s="28"/>
    </row>
    <row r="141" spans="1:20" ht="12.75">
      <c r="A141" s="26" t="s">
        <v>58</v>
      </c>
      <c r="K141" s="68">
        <v>0.25</v>
      </c>
      <c r="M141" s="26" t="s">
        <v>58</v>
      </c>
      <c r="N141" s="27"/>
      <c r="O141" s="27"/>
      <c r="P141" s="27"/>
      <c r="Q141" s="68">
        <v>1</v>
      </c>
      <c r="R141" s="67"/>
      <c r="S141" s="27"/>
      <c r="T141" s="28"/>
    </row>
    <row r="142" spans="1:20" ht="12.75">
      <c r="A142" s="26" t="s">
        <v>59</v>
      </c>
      <c r="K142" s="68">
        <v>0.15</v>
      </c>
      <c r="L142" t="s">
        <v>60</v>
      </c>
      <c r="M142" s="26" t="s">
        <v>61</v>
      </c>
      <c r="N142" s="27"/>
      <c r="O142" s="27"/>
      <c r="P142" s="27"/>
      <c r="Q142" s="68">
        <v>1</v>
      </c>
      <c r="S142" s="27"/>
      <c r="T142" s="28"/>
    </row>
    <row r="143" spans="9:18" ht="12.75">
      <c r="I143" s="27"/>
      <c r="M143" s="26" t="s">
        <v>62</v>
      </c>
      <c r="Q143" s="68">
        <v>1</v>
      </c>
      <c r="R143" t="s">
        <v>63</v>
      </c>
    </row>
    <row r="144" spans="9:17" ht="12.75">
      <c r="I144" s="27"/>
      <c r="M144" s="26"/>
      <c r="Q144" s="67"/>
    </row>
    <row r="145" spans="1:17" ht="12.75">
      <c r="A145" s="66" t="s">
        <v>64</v>
      </c>
      <c r="M145" s="401" t="s">
        <v>65</v>
      </c>
      <c r="N145" s="401"/>
      <c r="O145" s="401"/>
      <c r="P145" s="402">
        <v>16</v>
      </c>
      <c r="Q145" s="402"/>
    </row>
    <row r="146" spans="1:14" ht="13.5">
      <c r="A146" s="26" t="s">
        <v>56</v>
      </c>
      <c r="K146" s="68">
        <v>1</v>
      </c>
      <c r="M146" s="69"/>
      <c r="N146" s="69"/>
    </row>
    <row r="147" spans="1:17" ht="12.75">
      <c r="A147" s="26" t="s">
        <v>57</v>
      </c>
      <c r="K147" s="68">
        <v>0.5</v>
      </c>
      <c r="M147" s="401" t="s">
        <v>66</v>
      </c>
      <c r="N147" s="401"/>
      <c r="O147" s="401"/>
      <c r="P147" s="70">
        <v>150</v>
      </c>
      <c r="Q147" s="71" t="s">
        <v>67</v>
      </c>
    </row>
    <row r="148" spans="1:14" ht="13.5">
      <c r="A148" s="26" t="s">
        <v>68</v>
      </c>
      <c r="K148" s="68">
        <v>0.25</v>
      </c>
      <c r="L148" t="s">
        <v>60</v>
      </c>
      <c r="M148" s="69"/>
      <c r="N148" s="69"/>
    </row>
    <row r="149" spans="13:14" ht="13.5">
      <c r="M149" s="72"/>
      <c r="N149" s="69"/>
    </row>
    <row r="150" spans="14:17" ht="13.5">
      <c r="N150" s="72"/>
      <c r="O150" s="69"/>
      <c r="P150" s="69"/>
      <c r="Q150" s="69"/>
    </row>
    <row r="151" spans="15:17" ht="13.5">
      <c r="O151" s="69"/>
      <c r="P151" s="69"/>
      <c r="Q151" s="69"/>
    </row>
    <row r="152" spans="15:17" ht="13.5">
      <c r="O152" s="69"/>
      <c r="P152" s="69"/>
      <c r="Q152" s="69"/>
    </row>
    <row r="153" spans="15:17" ht="13.5">
      <c r="O153" s="69"/>
      <c r="P153" s="69"/>
      <c r="Q153" s="69"/>
    </row>
    <row r="154" spans="15:17" ht="13.5">
      <c r="O154" s="73"/>
      <c r="P154" s="73"/>
      <c r="Q154" s="73"/>
    </row>
  </sheetData>
  <mergeCells count="3">
    <mergeCell ref="M145:O145"/>
    <mergeCell ref="P145:Q145"/>
    <mergeCell ref="M147:O147"/>
  </mergeCells>
  <printOptions/>
  <pageMargins left="0.6694444444444445" right="0.15763888888888888" top="0.838888888888889" bottom="0.3701388888888889" header="0.37986111111111115" footer="0.11805555555555557"/>
  <pageSetup horizontalDpi="300" verticalDpi="300" orientation="portrait" paperSize="9" scale="85"/>
  <headerFooter alignWithMargins="0">
    <oddHeader>&amp;CTMMOB MAKİNA MÜHENDİSLERİODASI EDİRNE ŞUBESİ ETKİNLİK ALANINDA
01.07.2008-31.12.2008 TARİHLERİ ARASINDA UYGULANACAK TESİSAT MÜHENDİSLİĞİ PROJE HİZMETLERİ MESLEKİ DENETİM ÜCRETLERİ</oddHeader>
    <oddFooter>&amp;CSayfa  &amp;P  /  &amp;N</oddFooter>
  </headerFooter>
</worksheet>
</file>

<file path=xl/worksheets/sheet5.xml><?xml version="1.0" encoding="utf-8"?>
<worksheet xmlns="http://schemas.openxmlformats.org/spreadsheetml/2006/main" xmlns:r="http://schemas.openxmlformats.org/officeDocument/2006/relationships">
  <dimension ref="A1:T139"/>
  <sheetViews>
    <sheetView showZeros="0" workbookViewId="0" topLeftCell="A1">
      <pane ySplit="4" topLeftCell="BM94" activePane="bottomLeft" state="frozen"/>
      <selection pane="topLeft" activeCell="A1" sqref="A1"/>
      <selection pane="bottomLeft" activeCell="A135" sqref="A135"/>
    </sheetView>
  </sheetViews>
  <sheetFormatPr defaultColWidth="9.140625" defaultRowHeight="12.75"/>
  <cols>
    <col min="1" max="1" width="9.00390625" style="26" customWidth="1"/>
    <col min="2" max="6" width="0" style="27" hidden="1" customWidth="1"/>
    <col min="7" max="7" width="0" style="28" hidden="1" customWidth="1"/>
    <col min="19" max="16384" width="9.00390625" style="0" customWidth="1"/>
  </cols>
  <sheetData>
    <row r="1" spans="1:18" ht="12.75">
      <c r="A1" s="29" t="s">
        <v>32</v>
      </c>
      <c r="B1" s="30"/>
      <c r="C1" s="31"/>
      <c r="D1" s="31"/>
      <c r="E1" s="31"/>
      <c r="F1" s="31"/>
      <c r="G1" s="32"/>
      <c r="H1" s="33">
        <v>1</v>
      </c>
      <c r="I1" s="34">
        <v>2</v>
      </c>
      <c r="J1" s="35" t="s">
        <v>33</v>
      </c>
      <c r="K1" s="35" t="s">
        <v>34</v>
      </c>
      <c r="L1" s="35" t="s">
        <v>35</v>
      </c>
      <c r="M1" s="35" t="s">
        <v>36</v>
      </c>
      <c r="N1" s="35" t="s">
        <v>37</v>
      </c>
      <c r="O1" s="35" t="s">
        <v>38</v>
      </c>
      <c r="P1" s="35" t="s">
        <v>39</v>
      </c>
      <c r="Q1" s="35" t="s">
        <v>40</v>
      </c>
      <c r="R1" s="35" t="s">
        <v>41</v>
      </c>
    </row>
    <row r="2" spans="1:18" s="41" customFormat="1" ht="11.25">
      <c r="A2" s="36" t="s">
        <v>42</v>
      </c>
      <c r="B2" s="37"/>
      <c r="C2" s="38"/>
      <c r="D2" s="38"/>
      <c r="E2" s="38"/>
      <c r="F2" s="38"/>
      <c r="G2" s="39"/>
      <c r="H2" s="40">
        <v>112</v>
      </c>
      <c r="I2" s="40">
        <v>245</v>
      </c>
      <c r="J2" s="40">
        <v>399</v>
      </c>
      <c r="K2" s="40">
        <v>455</v>
      </c>
      <c r="L2" s="40">
        <v>513</v>
      </c>
      <c r="M2" s="40">
        <v>568</v>
      </c>
      <c r="N2" s="40">
        <v>682</v>
      </c>
      <c r="O2" s="40">
        <v>846</v>
      </c>
      <c r="P2" s="40">
        <v>1025</v>
      </c>
      <c r="Q2" s="40">
        <v>1169</v>
      </c>
      <c r="R2" s="40">
        <v>1396</v>
      </c>
    </row>
    <row r="3" spans="1:18" ht="16.5" customHeight="1">
      <c r="A3" s="42" t="s">
        <v>43</v>
      </c>
      <c r="B3" s="43">
        <v>1</v>
      </c>
      <c r="C3" s="43">
        <v>2</v>
      </c>
      <c r="D3" s="43">
        <v>3</v>
      </c>
      <c r="E3" s="43">
        <v>4</v>
      </c>
      <c r="F3" s="43">
        <v>5</v>
      </c>
      <c r="G3" s="43"/>
      <c r="H3" s="44" t="s">
        <v>44</v>
      </c>
      <c r="I3" s="44" t="s">
        <v>44</v>
      </c>
      <c r="J3" s="44" t="s">
        <v>44</v>
      </c>
      <c r="K3" s="44" t="s">
        <v>44</v>
      </c>
      <c r="L3" s="44" t="s">
        <v>44</v>
      </c>
      <c r="M3" s="44" t="s">
        <v>44</v>
      </c>
      <c r="N3" s="44" t="s">
        <v>44</v>
      </c>
      <c r="O3" s="44" t="s">
        <v>44</v>
      </c>
      <c r="P3" s="44" t="s">
        <v>44</v>
      </c>
      <c r="Q3" s="44" t="s">
        <v>44</v>
      </c>
      <c r="R3" s="44" t="s">
        <v>44</v>
      </c>
    </row>
    <row r="4" spans="1:18" ht="12.75" customHeight="1" hidden="1">
      <c r="A4" s="45">
        <v>1</v>
      </c>
      <c r="B4" s="46">
        <v>4.37</v>
      </c>
      <c r="C4" s="46">
        <v>4.93</v>
      </c>
      <c r="D4" s="46">
        <v>5.49</v>
      </c>
      <c r="E4" s="46">
        <v>6.05</v>
      </c>
      <c r="F4" s="46">
        <v>6.61</v>
      </c>
      <c r="G4" s="47">
        <v>1</v>
      </c>
      <c r="H4" s="44"/>
      <c r="I4" s="44"/>
      <c r="J4" s="44"/>
      <c r="K4" s="44"/>
      <c r="L4" s="44"/>
      <c r="M4" s="44"/>
      <c r="N4" s="44"/>
      <c r="O4" s="44"/>
      <c r="P4" s="44"/>
      <c r="Q4" s="44"/>
      <c r="R4" s="44"/>
    </row>
    <row r="5" spans="1:18" ht="12.75" customHeight="1" hidden="1">
      <c r="A5" s="45">
        <v>50</v>
      </c>
      <c r="B5" s="46">
        <v>4.37</v>
      </c>
      <c r="C5" s="46">
        <v>4.93</v>
      </c>
      <c r="D5" s="46">
        <v>5.49</v>
      </c>
      <c r="E5" s="46">
        <v>6.05</v>
      </c>
      <c r="F5" s="46">
        <v>6.61</v>
      </c>
      <c r="G5" s="47">
        <v>2</v>
      </c>
      <c r="H5" s="45">
        <f aca="true" t="shared" si="0" ref="H5:H36">$A5*$B5*H$2*$J$127*$J$128*$J$129*$J$130/100</f>
        <v>36.708</v>
      </c>
      <c r="I5" s="45">
        <f aca="true" t="shared" si="1" ref="I5:I36">$A5*$C5*$I$2*$J$127*$J$128*$J$129*$J$130/100</f>
        <v>90.58875</v>
      </c>
      <c r="J5" s="45">
        <f aca="true" t="shared" si="2" ref="J5:J36">$A5*$D5*$J$2*$J$127*$J$128*$J$129*$J$130/100</f>
        <v>164.28825</v>
      </c>
      <c r="K5" s="45">
        <f aca="true" t="shared" si="3" ref="K5:K36">$A5*$D5*$K$2*$J$127*$J$128*$J$129*$J$130/100</f>
        <v>187.34625</v>
      </c>
      <c r="L5" s="45">
        <f aca="true" t="shared" si="4" ref="L5:L36">$A5*$E5*$L$2*$J$127*$J$128*$J$129*$J$130/100</f>
        <v>232.77375</v>
      </c>
      <c r="M5" s="45">
        <f aca="true" t="shared" si="5" ref="M5:M36">$A5*$E5*$M$2*$J$127*$J$128*$J$129*$J$130/100</f>
        <v>257.73</v>
      </c>
      <c r="N5" s="45">
        <f aca="true" t="shared" si="6" ref="N5:N36">$A5*$E5*$N$2*$J$127*$J$128*$J$129*$J$130/100</f>
        <v>309.4575</v>
      </c>
      <c r="O5" s="45">
        <f aca="true" t="shared" si="7" ref="O5:O36">$A5*$F5*$O$2*$J$127*$J$128*$J$129*$J$130/100</f>
        <v>419.4045</v>
      </c>
      <c r="P5" s="45">
        <f aca="true" t="shared" si="8" ref="P5:P36">$A5*$F5*$P$2*$J$127*$J$128*$J$129*$J$130/100</f>
        <v>508.14375</v>
      </c>
      <c r="Q5" s="45">
        <f aca="true" t="shared" si="9" ref="Q5:Q36">$A5*$F5*$Q$2*$J$127*$J$128*$J$129*$J$130/100</f>
        <v>579.53175</v>
      </c>
      <c r="R5" s="45">
        <f aca="true" t="shared" si="10" ref="R5:R36">$A5*$F5*$R$2*$J$127*$J$128*$J$129*$J$130/100</f>
        <v>692.067</v>
      </c>
    </row>
    <row r="6" spans="1:18" ht="12.75" customHeight="1" hidden="1">
      <c r="A6" s="45">
        <v>100</v>
      </c>
      <c r="B6" s="46">
        <v>4.37</v>
      </c>
      <c r="C6" s="46">
        <v>4.93</v>
      </c>
      <c r="D6" s="46">
        <v>5.49</v>
      </c>
      <c r="E6" s="46">
        <v>6.05</v>
      </c>
      <c r="F6" s="46">
        <v>6.61</v>
      </c>
      <c r="G6" s="48">
        <f aca="true" t="shared" si="11" ref="G6:G37">G5+1</f>
        <v>3</v>
      </c>
      <c r="H6" s="45">
        <f t="shared" si="0"/>
        <v>73.416</v>
      </c>
      <c r="I6" s="45">
        <f t="shared" si="1"/>
        <v>181.1775</v>
      </c>
      <c r="J6" s="45">
        <f t="shared" si="2"/>
        <v>328.5765</v>
      </c>
      <c r="K6" s="45">
        <f t="shared" si="3"/>
        <v>374.6925</v>
      </c>
      <c r="L6" s="45">
        <f t="shared" si="4"/>
        <v>465.5475</v>
      </c>
      <c r="M6" s="45">
        <f t="shared" si="5"/>
        <v>515.46</v>
      </c>
      <c r="N6" s="45">
        <f t="shared" si="6"/>
        <v>618.915</v>
      </c>
      <c r="O6" s="45">
        <f t="shared" si="7"/>
        <v>838.809</v>
      </c>
      <c r="P6" s="45">
        <f t="shared" si="8"/>
        <v>1016.2875</v>
      </c>
      <c r="Q6" s="45">
        <f t="shared" si="9"/>
        <v>1159.0635</v>
      </c>
      <c r="R6" s="45">
        <f t="shared" si="10"/>
        <v>1384.134</v>
      </c>
    </row>
    <row r="7" spans="1:18" ht="14.25" customHeight="1">
      <c r="A7" s="45">
        <v>150</v>
      </c>
      <c r="B7" s="46">
        <v>4.37</v>
      </c>
      <c r="C7" s="46">
        <v>4.93</v>
      </c>
      <c r="D7" s="46">
        <v>5.49</v>
      </c>
      <c r="E7" s="46">
        <v>6.05</v>
      </c>
      <c r="F7" s="46">
        <v>6.61</v>
      </c>
      <c r="G7" s="48">
        <f t="shared" si="11"/>
        <v>4</v>
      </c>
      <c r="H7" s="45">
        <f t="shared" si="0"/>
        <v>110.124</v>
      </c>
      <c r="I7" s="45">
        <f t="shared" si="1"/>
        <v>271.76625</v>
      </c>
      <c r="J7" s="45">
        <f t="shared" si="2"/>
        <v>492.86474999999996</v>
      </c>
      <c r="K7" s="45">
        <f t="shared" si="3"/>
        <v>562.03875</v>
      </c>
      <c r="L7" s="45">
        <f t="shared" si="4"/>
        <v>698.32125</v>
      </c>
      <c r="M7" s="45">
        <f t="shared" si="5"/>
        <v>773.19</v>
      </c>
      <c r="N7" s="45">
        <f t="shared" si="6"/>
        <v>928.3725</v>
      </c>
      <c r="O7" s="45">
        <f t="shared" si="7"/>
        <v>1258.2134999999998</v>
      </c>
      <c r="P7" s="45">
        <f t="shared" si="8"/>
        <v>1524.43125</v>
      </c>
      <c r="Q7" s="45">
        <f t="shared" si="9"/>
        <v>1738.5952499999999</v>
      </c>
      <c r="R7" s="45">
        <f t="shared" si="10"/>
        <v>2076.201</v>
      </c>
    </row>
    <row r="8" spans="1:18" ht="14.25" customHeight="1">
      <c r="A8" s="45">
        <v>200</v>
      </c>
      <c r="B8" s="46">
        <v>4.37</v>
      </c>
      <c r="C8" s="46">
        <v>4.93</v>
      </c>
      <c r="D8" s="46">
        <v>5.49</v>
      </c>
      <c r="E8" s="46">
        <v>6.05</v>
      </c>
      <c r="F8" s="46">
        <v>6.61</v>
      </c>
      <c r="G8" s="48">
        <f t="shared" si="11"/>
        <v>5</v>
      </c>
      <c r="H8" s="45">
        <f t="shared" si="0"/>
        <v>146.832</v>
      </c>
      <c r="I8" s="45">
        <f t="shared" si="1"/>
        <v>362.355</v>
      </c>
      <c r="J8" s="45">
        <f t="shared" si="2"/>
        <v>657.153</v>
      </c>
      <c r="K8" s="45">
        <f t="shared" si="3"/>
        <v>749.385</v>
      </c>
      <c r="L8" s="45">
        <f t="shared" si="4"/>
        <v>931.095</v>
      </c>
      <c r="M8" s="45">
        <f t="shared" si="5"/>
        <v>1030.92</v>
      </c>
      <c r="N8" s="45">
        <f t="shared" si="6"/>
        <v>1237.83</v>
      </c>
      <c r="O8" s="45">
        <f t="shared" si="7"/>
        <v>1677.618</v>
      </c>
      <c r="P8" s="45">
        <f t="shared" si="8"/>
        <v>2032.575</v>
      </c>
      <c r="Q8" s="45">
        <f t="shared" si="9"/>
        <v>2318.127</v>
      </c>
      <c r="R8" s="45">
        <f t="shared" si="10"/>
        <v>2768.268</v>
      </c>
    </row>
    <row r="9" spans="1:18" s="49" customFormat="1" ht="12.75">
      <c r="A9" s="45">
        <v>250</v>
      </c>
      <c r="B9" s="46">
        <v>4.37</v>
      </c>
      <c r="C9" s="46">
        <v>4.93</v>
      </c>
      <c r="D9" s="46">
        <v>5.49</v>
      </c>
      <c r="E9" s="46">
        <v>6.05</v>
      </c>
      <c r="F9" s="46">
        <v>6.61</v>
      </c>
      <c r="G9" s="48">
        <f t="shared" si="11"/>
        <v>6</v>
      </c>
      <c r="H9" s="45">
        <f t="shared" si="0"/>
        <v>183.54</v>
      </c>
      <c r="I9" s="45">
        <f t="shared" si="1"/>
        <v>452.94375</v>
      </c>
      <c r="J9" s="45">
        <f t="shared" si="2"/>
        <v>821.44125</v>
      </c>
      <c r="K9" s="45">
        <f t="shared" si="3"/>
        <v>936.73125</v>
      </c>
      <c r="L9" s="45">
        <f t="shared" si="4"/>
        <v>1163.86875</v>
      </c>
      <c r="M9" s="45">
        <f t="shared" si="5"/>
        <v>1288.65</v>
      </c>
      <c r="N9" s="45">
        <f t="shared" si="6"/>
        <v>1547.2875</v>
      </c>
      <c r="O9" s="45">
        <f t="shared" si="7"/>
        <v>2097.0225</v>
      </c>
      <c r="P9" s="45">
        <f t="shared" si="8"/>
        <v>2540.71875</v>
      </c>
      <c r="Q9" s="45">
        <f t="shared" si="9"/>
        <v>2897.65875</v>
      </c>
      <c r="R9" s="45">
        <f t="shared" si="10"/>
        <v>3460.335</v>
      </c>
    </row>
    <row r="10" spans="1:18" s="49" customFormat="1" ht="12.75">
      <c r="A10" s="45">
        <v>300</v>
      </c>
      <c r="B10" s="46">
        <v>4.28</v>
      </c>
      <c r="C10" s="46">
        <v>4.84</v>
      </c>
      <c r="D10" s="46">
        <v>5.4</v>
      </c>
      <c r="E10" s="46">
        <v>5.96</v>
      </c>
      <c r="F10" s="46">
        <v>6.52</v>
      </c>
      <c r="G10" s="48">
        <f t="shared" si="11"/>
        <v>7</v>
      </c>
      <c r="H10" s="45">
        <f t="shared" si="0"/>
        <v>215.71200000000002</v>
      </c>
      <c r="I10" s="45">
        <f t="shared" si="1"/>
        <v>533.61</v>
      </c>
      <c r="J10" s="45">
        <f t="shared" si="2"/>
        <v>969.57</v>
      </c>
      <c r="K10" s="45">
        <f t="shared" si="3"/>
        <v>1105.65</v>
      </c>
      <c r="L10" s="45">
        <f t="shared" si="4"/>
        <v>1375.866</v>
      </c>
      <c r="M10" s="45">
        <f t="shared" si="5"/>
        <v>1523.376</v>
      </c>
      <c r="N10" s="45">
        <f t="shared" si="6"/>
        <v>1829.124</v>
      </c>
      <c r="O10" s="45">
        <f t="shared" si="7"/>
        <v>2482.1639999999998</v>
      </c>
      <c r="P10" s="45">
        <f t="shared" si="8"/>
        <v>3007.3499999999995</v>
      </c>
      <c r="Q10" s="45">
        <f t="shared" si="9"/>
        <v>3429.845999999999</v>
      </c>
      <c r="R10" s="45">
        <f t="shared" si="10"/>
        <v>4095.863999999999</v>
      </c>
    </row>
    <row r="11" spans="1:18" s="49" customFormat="1" ht="12.75">
      <c r="A11" s="45">
        <v>350</v>
      </c>
      <c r="B11" s="46">
        <v>4.19</v>
      </c>
      <c r="C11" s="46">
        <v>4.75</v>
      </c>
      <c r="D11" s="46">
        <v>5.31</v>
      </c>
      <c r="E11" s="46">
        <v>5.87</v>
      </c>
      <c r="F11" s="46">
        <v>6.43</v>
      </c>
      <c r="G11" s="48">
        <f t="shared" si="11"/>
        <v>8</v>
      </c>
      <c r="H11" s="45">
        <f t="shared" si="0"/>
        <v>246.37200000000004</v>
      </c>
      <c r="I11" s="45">
        <f t="shared" si="1"/>
        <v>610.96875</v>
      </c>
      <c r="J11" s="45">
        <f t="shared" si="2"/>
        <v>1112.3122499999997</v>
      </c>
      <c r="K11" s="45">
        <f t="shared" si="3"/>
        <v>1268.4262499999998</v>
      </c>
      <c r="L11" s="45">
        <f t="shared" si="4"/>
        <v>1580.93775</v>
      </c>
      <c r="M11" s="45">
        <f t="shared" si="5"/>
        <v>1750.434</v>
      </c>
      <c r="N11" s="45">
        <f t="shared" si="6"/>
        <v>2101.7535000000003</v>
      </c>
      <c r="O11" s="45">
        <f t="shared" si="7"/>
        <v>2855.8845</v>
      </c>
      <c r="P11" s="45">
        <f t="shared" si="8"/>
        <v>3460.14375</v>
      </c>
      <c r="Q11" s="45">
        <f t="shared" si="9"/>
        <v>3946.25175</v>
      </c>
      <c r="R11" s="45">
        <f t="shared" si="10"/>
        <v>4712.5470000000005</v>
      </c>
    </row>
    <row r="12" spans="1:18" s="49" customFormat="1" ht="12.75">
      <c r="A12" s="45">
        <v>400</v>
      </c>
      <c r="B12" s="46">
        <v>4.1</v>
      </c>
      <c r="C12" s="46">
        <v>4.66</v>
      </c>
      <c r="D12" s="46">
        <v>5.22</v>
      </c>
      <c r="E12" s="46">
        <v>5.78</v>
      </c>
      <c r="F12" s="46">
        <v>6.34</v>
      </c>
      <c r="G12" s="48">
        <f t="shared" si="11"/>
        <v>9</v>
      </c>
      <c r="H12" s="45">
        <f t="shared" si="0"/>
        <v>275.52</v>
      </c>
      <c r="I12" s="45">
        <f t="shared" si="1"/>
        <v>685.02</v>
      </c>
      <c r="J12" s="45">
        <f t="shared" si="2"/>
        <v>1249.668</v>
      </c>
      <c r="K12" s="45">
        <f t="shared" si="3"/>
        <v>1425.06</v>
      </c>
      <c r="L12" s="45">
        <f t="shared" si="4"/>
        <v>1779.0839999999998</v>
      </c>
      <c r="M12" s="45">
        <f t="shared" si="5"/>
        <v>1969.8239999999998</v>
      </c>
      <c r="N12" s="45">
        <f t="shared" si="6"/>
        <v>2365.176</v>
      </c>
      <c r="O12" s="45">
        <f t="shared" si="7"/>
        <v>3218.1839999999997</v>
      </c>
      <c r="P12" s="45">
        <f t="shared" si="8"/>
        <v>3899.1</v>
      </c>
      <c r="Q12" s="45">
        <f t="shared" si="9"/>
        <v>4446.876</v>
      </c>
      <c r="R12" s="45">
        <f t="shared" si="10"/>
        <v>5310.384</v>
      </c>
    </row>
    <row r="13" spans="1:18" s="49" customFormat="1" ht="12.75">
      <c r="A13" s="45">
        <v>450</v>
      </c>
      <c r="B13" s="46">
        <v>4.01</v>
      </c>
      <c r="C13" s="46">
        <v>4.57</v>
      </c>
      <c r="D13" s="46">
        <v>5.13</v>
      </c>
      <c r="E13" s="46">
        <v>5.69</v>
      </c>
      <c r="F13" s="46">
        <v>6.25</v>
      </c>
      <c r="G13" s="48">
        <f t="shared" si="11"/>
        <v>10</v>
      </c>
      <c r="H13" s="45">
        <f t="shared" si="0"/>
        <v>303.156</v>
      </c>
      <c r="I13" s="45">
        <f t="shared" si="1"/>
        <v>755.76375</v>
      </c>
      <c r="J13" s="45">
        <f t="shared" si="2"/>
        <v>1381.63725</v>
      </c>
      <c r="K13" s="45">
        <f t="shared" si="3"/>
        <v>1575.55125</v>
      </c>
      <c r="L13" s="45">
        <f t="shared" si="4"/>
        <v>1970.30475</v>
      </c>
      <c r="M13" s="45">
        <f t="shared" si="5"/>
        <v>2181.5460000000003</v>
      </c>
      <c r="N13" s="45">
        <f t="shared" si="6"/>
        <v>2619.3914999999997</v>
      </c>
      <c r="O13" s="45">
        <f t="shared" si="7"/>
        <v>3569.0625</v>
      </c>
      <c r="P13" s="45">
        <f t="shared" si="8"/>
        <v>4324.21875</v>
      </c>
      <c r="Q13" s="45">
        <f t="shared" si="9"/>
        <v>4931.71875</v>
      </c>
      <c r="R13" s="45">
        <f t="shared" si="10"/>
        <v>5889.375</v>
      </c>
    </row>
    <row r="14" spans="1:18" s="49" customFormat="1" ht="12.75">
      <c r="A14" s="45">
        <v>500</v>
      </c>
      <c r="B14" s="46">
        <v>3.92</v>
      </c>
      <c r="C14" s="46">
        <v>4.48</v>
      </c>
      <c r="D14" s="46">
        <v>5.04</v>
      </c>
      <c r="E14" s="46">
        <v>5.6</v>
      </c>
      <c r="F14" s="46">
        <v>6.16</v>
      </c>
      <c r="G14" s="48">
        <f t="shared" si="11"/>
        <v>11</v>
      </c>
      <c r="H14" s="45">
        <f t="shared" si="0"/>
        <v>329.28</v>
      </c>
      <c r="I14" s="45">
        <f t="shared" si="1"/>
        <v>823.2</v>
      </c>
      <c r="J14" s="45">
        <f t="shared" si="2"/>
        <v>1508.22</v>
      </c>
      <c r="K14" s="45">
        <f t="shared" si="3"/>
        <v>1719.9</v>
      </c>
      <c r="L14" s="45">
        <f t="shared" si="4"/>
        <v>2154.6</v>
      </c>
      <c r="M14" s="45">
        <f t="shared" si="5"/>
        <v>2385.6</v>
      </c>
      <c r="N14" s="45">
        <f t="shared" si="6"/>
        <v>2864.4</v>
      </c>
      <c r="O14" s="45">
        <f t="shared" si="7"/>
        <v>3908.52</v>
      </c>
      <c r="P14" s="45">
        <f t="shared" si="8"/>
        <v>4735.5</v>
      </c>
      <c r="Q14" s="45">
        <f t="shared" si="9"/>
        <v>5400.78</v>
      </c>
      <c r="R14" s="45">
        <f t="shared" si="10"/>
        <v>6449.52</v>
      </c>
    </row>
    <row r="15" spans="1:18" s="49" customFormat="1" ht="12.75">
      <c r="A15" s="45">
        <v>550</v>
      </c>
      <c r="B15" s="46">
        <v>3.83</v>
      </c>
      <c r="C15" s="46">
        <v>4.39</v>
      </c>
      <c r="D15" s="46">
        <v>4.95</v>
      </c>
      <c r="E15" s="46">
        <v>5.51</v>
      </c>
      <c r="F15" s="46">
        <v>6.07</v>
      </c>
      <c r="G15" s="48">
        <f t="shared" si="11"/>
        <v>12</v>
      </c>
      <c r="H15" s="45">
        <f t="shared" si="0"/>
        <v>353.892</v>
      </c>
      <c r="I15" s="45">
        <f t="shared" si="1"/>
        <v>887.32875</v>
      </c>
      <c r="J15" s="45">
        <f t="shared" si="2"/>
        <v>1629.41625</v>
      </c>
      <c r="K15" s="45">
        <f t="shared" si="3"/>
        <v>1858.10625</v>
      </c>
      <c r="L15" s="45">
        <f t="shared" si="4"/>
        <v>2331.96975</v>
      </c>
      <c r="M15" s="45">
        <f t="shared" si="5"/>
        <v>2581.986</v>
      </c>
      <c r="N15" s="45">
        <f t="shared" si="6"/>
        <v>3100.2014999999997</v>
      </c>
      <c r="O15" s="45">
        <f t="shared" si="7"/>
        <v>4236.5565</v>
      </c>
      <c r="P15" s="45">
        <f t="shared" si="8"/>
        <v>5132.94375</v>
      </c>
      <c r="Q15" s="45">
        <f t="shared" si="9"/>
        <v>5854.059749999999</v>
      </c>
      <c r="R15" s="45">
        <f t="shared" si="10"/>
        <v>6990.819</v>
      </c>
    </row>
    <row r="16" spans="1:18" ht="12.75">
      <c r="A16" s="50">
        <v>600</v>
      </c>
      <c r="B16" s="51">
        <v>3.74</v>
      </c>
      <c r="C16" s="51">
        <v>4.3</v>
      </c>
      <c r="D16" s="51">
        <v>4.86</v>
      </c>
      <c r="E16" s="51">
        <v>5.42</v>
      </c>
      <c r="F16" s="51">
        <v>5.98</v>
      </c>
      <c r="G16" s="48">
        <f t="shared" si="11"/>
        <v>13</v>
      </c>
      <c r="H16" s="45">
        <f t="shared" si="0"/>
        <v>376.99199999999996</v>
      </c>
      <c r="I16" s="45">
        <f t="shared" si="1"/>
        <v>948.15</v>
      </c>
      <c r="J16" s="45">
        <f t="shared" si="2"/>
        <v>1745.226</v>
      </c>
      <c r="K16" s="45">
        <f t="shared" si="3"/>
        <v>1990.17</v>
      </c>
      <c r="L16" s="45">
        <f t="shared" si="4"/>
        <v>2502.4139999999998</v>
      </c>
      <c r="M16" s="45">
        <f t="shared" si="5"/>
        <v>2770.7039999999997</v>
      </c>
      <c r="N16" s="45">
        <f t="shared" si="6"/>
        <v>3326.796</v>
      </c>
      <c r="O16" s="45">
        <f t="shared" si="7"/>
        <v>4553.1720000000005</v>
      </c>
      <c r="P16" s="45">
        <f t="shared" si="8"/>
        <v>5516.55</v>
      </c>
      <c r="Q16" s="45">
        <f t="shared" si="9"/>
        <v>6291.558000000002</v>
      </c>
      <c r="R16" s="45">
        <f t="shared" si="10"/>
        <v>7513.272000000001</v>
      </c>
    </row>
    <row r="17" spans="1:18" s="49" customFormat="1" ht="12.75">
      <c r="A17" s="45">
        <v>650</v>
      </c>
      <c r="B17" s="46">
        <v>3.65</v>
      </c>
      <c r="C17" s="46">
        <v>4.21</v>
      </c>
      <c r="D17" s="46">
        <v>4.77</v>
      </c>
      <c r="E17" s="46">
        <v>5.33</v>
      </c>
      <c r="F17" s="46">
        <v>5.89</v>
      </c>
      <c r="G17" s="48">
        <f t="shared" si="11"/>
        <v>14</v>
      </c>
      <c r="H17" s="45">
        <f t="shared" si="0"/>
        <v>398.58</v>
      </c>
      <c r="I17" s="45">
        <f t="shared" si="1"/>
        <v>1005.66375</v>
      </c>
      <c r="J17" s="45">
        <f t="shared" si="2"/>
        <v>1855.6492499999995</v>
      </c>
      <c r="K17" s="45">
        <f t="shared" si="3"/>
        <v>2116.0912499999995</v>
      </c>
      <c r="L17" s="45">
        <f t="shared" si="4"/>
        <v>2665.9327499999995</v>
      </c>
      <c r="M17" s="45">
        <f t="shared" si="5"/>
        <v>2951.7539999999995</v>
      </c>
      <c r="N17" s="45">
        <f t="shared" si="6"/>
        <v>3544.1834999999996</v>
      </c>
      <c r="O17" s="45">
        <f t="shared" si="7"/>
        <v>4858.3665</v>
      </c>
      <c r="P17" s="45">
        <f t="shared" si="8"/>
        <v>5886.31875</v>
      </c>
      <c r="Q17" s="45">
        <f t="shared" si="9"/>
        <v>6713.27475</v>
      </c>
      <c r="R17" s="45">
        <f t="shared" si="10"/>
        <v>8016.879</v>
      </c>
    </row>
    <row r="18" spans="1:18" ht="12.75">
      <c r="A18" s="50">
        <v>700</v>
      </c>
      <c r="B18" s="51">
        <v>3.56</v>
      </c>
      <c r="C18" s="51">
        <v>4.12</v>
      </c>
      <c r="D18" s="51">
        <v>4.68</v>
      </c>
      <c r="E18" s="51">
        <v>5.24</v>
      </c>
      <c r="F18" s="51">
        <v>5.8</v>
      </c>
      <c r="G18" s="48">
        <f t="shared" si="11"/>
        <v>15</v>
      </c>
      <c r="H18" s="45">
        <f t="shared" si="0"/>
        <v>418.656</v>
      </c>
      <c r="I18" s="45">
        <f t="shared" si="1"/>
        <v>1059.87</v>
      </c>
      <c r="J18" s="45">
        <f t="shared" si="2"/>
        <v>1960.6860000000001</v>
      </c>
      <c r="K18" s="45">
        <f t="shared" si="3"/>
        <v>2235.87</v>
      </c>
      <c r="L18" s="45">
        <f t="shared" si="4"/>
        <v>2822.526</v>
      </c>
      <c r="M18" s="45">
        <f t="shared" si="5"/>
        <v>3125.136</v>
      </c>
      <c r="N18" s="45">
        <f t="shared" si="6"/>
        <v>3752.3639999999996</v>
      </c>
      <c r="O18" s="45">
        <f t="shared" si="7"/>
        <v>5152.14</v>
      </c>
      <c r="P18" s="45">
        <f t="shared" si="8"/>
        <v>6242.25</v>
      </c>
      <c r="Q18" s="45">
        <f t="shared" si="9"/>
        <v>7119.21</v>
      </c>
      <c r="R18" s="45">
        <f t="shared" si="10"/>
        <v>8501.64</v>
      </c>
    </row>
    <row r="19" spans="1:18" ht="12.75">
      <c r="A19" s="50">
        <v>750</v>
      </c>
      <c r="B19" s="51">
        <v>3.47</v>
      </c>
      <c r="C19" s="51">
        <v>4.03</v>
      </c>
      <c r="D19" s="51">
        <v>4.59</v>
      </c>
      <c r="E19" s="51">
        <v>5.15</v>
      </c>
      <c r="F19" s="51">
        <v>5.71</v>
      </c>
      <c r="G19" s="48">
        <f t="shared" si="11"/>
        <v>16</v>
      </c>
      <c r="H19" s="45">
        <f t="shared" si="0"/>
        <v>437.22</v>
      </c>
      <c r="I19" s="45">
        <f t="shared" si="1"/>
        <v>1110.76875</v>
      </c>
      <c r="J19" s="45">
        <f t="shared" si="2"/>
        <v>2060.33625</v>
      </c>
      <c r="K19" s="45">
        <f t="shared" si="3"/>
        <v>2349.50625</v>
      </c>
      <c r="L19" s="45">
        <f t="shared" si="4"/>
        <v>2972.19375</v>
      </c>
      <c r="M19" s="45">
        <f t="shared" si="5"/>
        <v>3290.8500000000004</v>
      </c>
      <c r="N19" s="45">
        <f t="shared" si="6"/>
        <v>3951.3375000000005</v>
      </c>
      <c r="O19" s="45">
        <f t="shared" si="7"/>
        <v>5434.4925</v>
      </c>
      <c r="P19" s="45">
        <f t="shared" si="8"/>
        <v>6584.34375</v>
      </c>
      <c r="Q19" s="45">
        <f t="shared" si="9"/>
        <v>7509.36375</v>
      </c>
      <c r="R19" s="45">
        <f t="shared" si="10"/>
        <v>8967.555</v>
      </c>
    </row>
    <row r="20" spans="1:18" ht="12.75">
      <c r="A20" s="50">
        <v>800</v>
      </c>
      <c r="B20" s="51">
        <v>3.38</v>
      </c>
      <c r="C20" s="51">
        <v>3.94</v>
      </c>
      <c r="D20" s="51">
        <v>4.5</v>
      </c>
      <c r="E20" s="51">
        <v>5.06</v>
      </c>
      <c r="F20" s="51">
        <v>5.62</v>
      </c>
      <c r="G20" s="48">
        <f t="shared" si="11"/>
        <v>17</v>
      </c>
      <c r="H20" s="45">
        <f t="shared" si="0"/>
        <v>454.272</v>
      </c>
      <c r="I20" s="45">
        <f t="shared" si="1"/>
        <v>1158.36</v>
      </c>
      <c r="J20" s="45">
        <f t="shared" si="2"/>
        <v>2154.6</v>
      </c>
      <c r="K20" s="45">
        <f t="shared" si="3"/>
        <v>2457</v>
      </c>
      <c r="L20" s="45">
        <f t="shared" si="4"/>
        <v>3114.9359999999997</v>
      </c>
      <c r="M20" s="45">
        <f t="shared" si="5"/>
        <v>3448.8959999999993</v>
      </c>
      <c r="N20" s="45">
        <f t="shared" si="6"/>
        <v>4141.103999999999</v>
      </c>
      <c r="O20" s="45">
        <f t="shared" si="7"/>
        <v>5705.424</v>
      </c>
      <c r="P20" s="45">
        <f t="shared" si="8"/>
        <v>6912.6</v>
      </c>
      <c r="Q20" s="45">
        <f t="shared" si="9"/>
        <v>7883.736</v>
      </c>
      <c r="R20" s="45">
        <f t="shared" si="10"/>
        <v>9414.624</v>
      </c>
    </row>
    <row r="21" spans="1:18" ht="12.75">
      <c r="A21" s="50">
        <v>850</v>
      </c>
      <c r="B21" s="51">
        <v>3.29</v>
      </c>
      <c r="C21" s="51">
        <v>3.85</v>
      </c>
      <c r="D21" s="51">
        <v>4.41</v>
      </c>
      <c r="E21" s="51">
        <v>4.97</v>
      </c>
      <c r="F21" s="51">
        <v>5.53</v>
      </c>
      <c r="G21" s="48">
        <f t="shared" si="11"/>
        <v>18</v>
      </c>
      <c r="H21" s="45">
        <f t="shared" si="0"/>
        <v>469.81199999999995</v>
      </c>
      <c r="I21" s="45">
        <f t="shared" si="1"/>
        <v>1202.64375</v>
      </c>
      <c r="J21" s="45">
        <f t="shared" si="2"/>
        <v>2243.47725</v>
      </c>
      <c r="K21" s="45">
        <f t="shared" si="3"/>
        <v>2558.35125</v>
      </c>
      <c r="L21" s="45">
        <f t="shared" si="4"/>
        <v>3250.7527499999997</v>
      </c>
      <c r="M21" s="45">
        <f t="shared" si="5"/>
        <v>3599.2739999999994</v>
      </c>
      <c r="N21" s="45">
        <f t="shared" si="6"/>
        <v>4321.6635</v>
      </c>
      <c r="O21" s="45">
        <f t="shared" si="7"/>
        <v>5964.934499999999</v>
      </c>
      <c r="P21" s="45">
        <f t="shared" si="8"/>
        <v>7227.01875</v>
      </c>
      <c r="Q21" s="45">
        <f t="shared" si="9"/>
        <v>8242.32675</v>
      </c>
      <c r="R21" s="45">
        <f t="shared" si="10"/>
        <v>9842.847</v>
      </c>
    </row>
    <row r="22" spans="1:18" ht="12.75">
      <c r="A22" s="50">
        <v>900</v>
      </c>
      <c r="B22" s="51">
        <v>3.2</v>
      </c>
      <c r="C22" s="51">
        <v>3.76</v>
      </c>
      <c r="D22" s="51">
        <v>4.32</v>
      </c>
      <c r="E22" s="51">
        <v>4.88</v>
      </c>
      <c r="F22" s="51">
        <v>5.44</v>
      </c>
      <c r="G22" s="48">
        <f t="shared" si="11"/>
        <v>19</v>
      </c>
      <c r="H22" s="45">
        <f t="shared" si="0"/>
        <v>483.84</v>
      </c>
      <c r="I22" s="45">
        <f t="shared" si="1"/>
        <v>1243.62</v>
      </c>
      <c r="J22" s="45">
        <f t="shared" si="2"/>
        <v>2326.9680000000003</v>
      </c>
      <c r="K22" s="45">
        <f t="shared" si="3"/>
        <v>2653.56</v>
      </c>
      <c r="L22" s="45">
        <f t="shared" si="4"/>
        <v>3379.644</v>
      </c>
      <c r="M22" s="45">
        <f t="shared" si="5"/>
        <v>3741.9839999999995</v>
      </c>
      <c r="N22" s="45">
        <f t="shared" si="6"/>
        <v>4493.016</v>
      </c>
      <c r="O22" s="45">
        <f t="shared" si="7"/>
        <v>6213.024</v>
      </c>
      <c r="P22" s="45">
        <f t="shared" si="8"/>
        <v>7527.6</v>
      </c>
      <c r="Q22" s="45">
        <f t="shared" si="9"/>
        <v>8585.136</v>
      </c>
      <c r="R22" s="45">
        <f t="shared" si="10"/>
        <v>10252.223999999998</v>
      </c>
    </row>
    <row r="23" spans="1:18" ht="12.75">
      <c r="A23" s="50">
        <v>950</v>
      </c>
      <c r="B23" s="51">
        <v>3.11</v>
      </c>
      <c r="C23" s="51">
        <v>3.67</v>
      </c>
      <c r="D23" s="51">
        <v>4.23</v>
      </c>
      <c r="E23" s="51">
        <v>4.79</v>
      </c>
      <c r="F23" s="51">
        <v>5.35</v>
      </c>
      <c r="G23" s="48">
        <f t="shared" si="11"/>
        <v>20</v>
      </c>
      <c r="H23" s="45">
        <f t="shared" si="0"/>
        <v>496.356</v>
      </c>
      <c r="I23" s="45">
        <f t="shared" si="1"/>
        <v>1281.28875</v>
      </c>
      <c r="J23" s="45">
        <f t="shared" si="2"/>
        <v>2405.07225</v>
      </c>
      <c r="K23" s="45">
        <f t="shared" si="3"/>
        <v>2742.62625</v>
      </c>
      <c r="L23" s="45">
        <f t="shared" si="4"/>
        <v>3501.6097499999996</v>
      </c>
      <c r="M23" s="45">
        <f t="shared" si="5"/>
        <v>3877.026</v>
      </c>
      <c r="N23" s="45">
        <f t="shared" si="6"/>
        <v>4655.161499999999</v>
      </c>
      <c r="O23" s="45">
        <f t="shared" si="7"/>
        <v>6449.6925</v>
      </c>
      <c r="P23" s="45">
        <f t="shared" si="8"/>
        <v>7814.34375</v>
      </c>
      <c r="Q23" s="45">
        <f t="shared" si="9"/>
        <v>8912.16375</v>
      </c>
      <c r="R23" s="45">
        <f t="shared" si="10"/>
        <v>10642.755</v>
      </c>
    </row>
    <row r="24" spans="1:18" ht="12.75">
      <c r="A24" s="50">
        <v>1000</v>
      </c>
      <c r="B24" s="51">
        <v>3.02</v>
      </c>
      <c r="C24" s="51">
        <v>3.58</v>
      </c>
      <c r="D24" s="51">
        <v>4.14</v>
      </c>
      <c r="E24" s="51">
        <v>4.7</v>
      </c>
      <c r="F24" s="51">
        <v>5.26</v>
      </c>
      <c r="G24" s="48">
        <f t="shared" si="11"/>
        <v>21</v>
      </c>
      <c r="H24" s="45">
        <f t="shared" si="0"/>
        <v>507.36</v>
      </c>
      <c r="I24" s="45">
        <f t="shared" si="1"/>
        <v>1315.65</v>
      </c>
      <c r="J24" s="45">
        <f t="shared" si="2"/>
        <v>2477.79</v>
      </c>
      <c r="K24" s="45">
        <f t="shared" si="3"/>
        <v>2825.55</v>
      </c>
      <c r="L24" s="45">
        <f t="shared" si="4"/>
        <v>3616.65</v>
      </c>
      <c r="M24" s="45">
        <f t="shared" si="5"/>
        <v>4004.4</v>
      </c>
      <c r="N24" s="45">
        <f t="shared" si="6"/>
        <v>4808.1</v>
      </c>
      <c r="O24" s="45">
        <f t="shared" si="7"/>
        <v>6674.94</v>
      </c>
      <c r="P24" s="45">
        <f t="shared" si="8"/>
        <v>8087.25</v>
      </c>
      <c r="Q24" s="45">
        <f t="shared" si="9"/>
        <v>9223.41</v>
      </c>
      <c r="R24" s="45">
        <f t="shared" si="10"/>
        <v>11014.44</v>
      </c>
    </row>
    <row r="25" spans="1:18" ht="12.75">
      <c r="A25" s="50">
        <v>1050</v>
      </c>
      <c r="B25" s="51">
        <v>3</v>
      </c>
      <c r="C25" s="51">
        <v>3.56</v>
      </c>
      <c r="D25" s="51">
        <v>4.11</v>
      </c>
      <c r="E25" s="51">
        <v>4.66</v>
      </c>
      <c r="F25" s="51">
        <v>5.22</v>
      </c>
      <c r="G25" s="48">
        <f t="shared" si="11"/>
        <v>22</v>
      </c>
      <c r="H25" s="45">
        <f t="shared" si="0"/>
        <v>529.2</v>
      </c>
      <c r="I25" s="45">
        <f t="shared" si="1"/>
        <v>1373.715</v>
      </c>
      <c r="J25" s="45">
        <f t="shared" si="2"/>
        <v>2582.8267499999997</v>
      </c>
      <c r="K25" s="45">
        <f t="shared" si="3"/>
        <v>2945.32875</v>
      </c>
      <c r="L25" s="45">
        <f t="shared" si="4"/>
        <v>3765.1634999999997</v>
      </c>
      <c r="M25" s="45">
        <f t="shared" si="5"/>
        <v>4168.835999999999</v>
      </c>
      <c r="N25" s="45">
        <f t="shared" si="6"/>
        <v>5005.539</v>
      </c>
      <c r="O25" s="45">
        <f t="shared" si="7"/>
        <v>6955.389</v>
      </c>
      <c r="P25" s="45">
        <f t="shared" si="8"/>
        <v>8427.0375</v>
      </c>
      <c r="Q25" s="45">
        <f t="shared" si="9"/>
        <v>9610.9335</v>
      </c>
      <c r="R25" s="45">
        <f t="shared" si="10"/>
        <v>11477.214</v>
      </c>
    </row>
    <row r="26" spans="1:18" ht="12.75">
      <c r="A26" s="50">
        <v>1100</v>
      </c>
      <c r="B26" s="51">
        <v>2.98</v>
      </c>
      <c r="C26" s="51">
        <v>3.54</v>
      </c>
      <c r="D26" s="51">
        <v>4.08</v>
      </c>
      <c r="E26" s="51">
        <v>4.63</v>
      </c>
      <c r="F26" s="51">
        <v>5.18</v>
      </c>
      <c r="G26" s="48">
        <f t="shared" si="11"/>
        <v>23</v>
      </c>
      <c r="H26" s="45">
        <f t="shared" si="0"/>
        <v>550.7040000000001</v>
      </c>
      <c r="I26" s="45">
        <f t="shared" si="1"/>
        <v>1431.045</v>
      </c>
      <c r="J26" s="45">
        <f t="shared" si="2"/>
        <v>2686.0679999999998</v>
      </c>
      <c r="K26" s="45">
        <f t="shared" si="3"/>
        <v>3063.06</v>
      </c>
      <c r="L26" s="45">
        <f t="shared" si="4"/>
        <v>3919.0634999999997</v>
      </c>
      <c r="M26" s="45">
        <f t="shared" si="5"/>
        <v>4339.236</v>
      </c>
      <c r="N26" s="45">
        <f t="shared" si="6"/>
        <v>5210.138999999999</v>
      </c>
      <c r="O26" s="45">
        <f t="shared" si="7"/>
        <v>7230.762</v>
      </c>
      <c r="P26" s="45">
        <f t="shared" si="8"/>
        <v>8760.675</v>
      </c>
      <c r="Q26" s="45">
        <f t="shared" si="9"/>
        <v>9991.443</v>
      </c>
      <c r="R26" s="45">
        <f t="shared" si="10"/>
        <v>11931.612</v>
      </c>
    </row>
    <row r="27" spans="1:18" ht="12.75">
      <c r="A27" s="50">
        <v>1150</v>
      </c>
      <c r="B27" s="51">
        <v>2.96</v>
      </c>
      <c r="C27" s="51">
        <v>3.51</v>
      </c>
      <c r="D27" s="51">
        <v>4.05</v>
      </c>
      <c r="E27" s="51">
        <v>4.6</v>
      </c>
      <c r="F27" s="51">
        <v>5.14</v>
      </c>
      <c r="G27" s="48">
        <f t="shared" si="11"/>
        <v>24</v>
      </c>
      <c r="H27" s="45">
        <f t="shared" si="0"/>
        <v>571.872</v>
      </c>
      <c r="I27" s="45">
        <f t="shared" si="1"/>
        <v>1483.4137499999997</v>
      </c>
      <c r="J27" s="45">
        <f t="shared" si="2"/>
        <v>2787.51375</v>
      </c>
      <c r="K27" s="45">
        <f t="shared" si="3"/>
        <v>3178.74375</v>
      </c>
      <c r="L27" s="45">
        <f t="shared" si="4"/>
        <v>4070.655</v>
      </c>
      <c r="M27" s="45">
        <f t="shared" si="5"/>
        <v>4507.08</v>
      </c>
      <c r="N27" s="45">
        <f t="shared" si="6"/>
        <v>5411.67</v>
      </c>
      <c r="O27" s="45">
        <f t="shared" si="7"/>
        <v>7501.059</v>
      </c>
      <c r="P27" s="45">
        <f t="shared" si="8"/>
        <v>9088.1625</v>
      </c>
      <c r="Q27" s="45">
        <f t="shared" si="9"/>
        <v>10364.9385</v>
      </c>
      <c r="R27" s="45">
        <f t="shared" si="10"/>
        <v>12377.633999999998</v>
      </c>
    </row>
    <row r="28" spans="1:18" ht="12.75">
      <c r="A28" s="50">
        <v>1200</v>
      </c>
      <c r="B28" s="51">
        <v>2.94</v>
      </c>
      <c r="C28" s="51">
        <v>3.49</v>
      </c>
      <c r="D28" s="51">
        <v>4.02</v>
      </c>
      <c r="E28" s="51">
        <v>4.56</v>
      </c>
      <c r="F28" s="51">
        <v>5.1</v>
      </c>
      <c r="G28" s="48">
        <f t="shared" si="11"/>
        <v>25</v>
      </c>
      <c r="H28" s="45">
        <f t="shared" si="0"/>
        <v>592.704</v>
      </c>
      <c r="I28" s="45">
        <f t="shared" si="1"/>
        <v>1539.09</v>
      </c>
      <c r="J28" s="45">
        <f t="shared" si="2"/>
        <v>2887.163999999999</v>
      </c>
      <c r="K28" s="45">
        <f t="shared" si="3"/>
        <v>3292.379999999999</v>
      </c>
      <c r="L28" s="45">
        <f t="shared" si="4"/>
        <v>4210.703999999999</v>
      </c>
      <c r="M28" s="45">
        <f t="shared" si="5"/>
        <v>4662.143999999999</v>
      </c>
      <c r="N28" s="45">
        <f t="shared" si="6"/>
        <v>5597.855999999999</v>
      </c>
      <c r="O28" s="45">
        <f t="shared" si="7"/>
        <v>7766.28</v>
      </c>
      <c r="P28" s="45">
        <f t="shared" si="8"/>
        <v>9409.5</v>
      </c>
      <c r="Q28" s="45">
        <f t="shared" si="9"/>
        <v>10731.42</v>
      </c>
      <c r="R28" s="45">
        <f t="shared" si="10"/>
        <v>12815.28</v>
      </c>
    </row>
    <row r="29" spans="1:18" ht="12.75">
      <c r="A29" s="50">
        <v>1250</v>
      </c>
      <c r="B29" s="51">
        <v>2.92</v>
      </c>
      <c r="C29" s="51">
        <v>3.46</v>
      </c>
      <c r="D29" s="51">
        <v>3.99</v>
      </c>
      <c r="E29" s="51">
        <v>4.53</v>
      </c>
      <c r="F29" s="51">
        <v>5.07</v>
      </c>
      <c r="G29" s="48">
        <f t="shared" si="11"/>
        <v>26</v>
      </c>
      <c r="H29" s="45">
        <f t="shared" si="0"/>
        <v>613.2</v>
      </c>
      <c r="I29" s="45">
        <f t="shared" si="1"/>
        <v>1589.4375</v>
      </c>
      <c r="J29" s="45">
        <f t="shared" si="2"/>
        <v>2985.01875</v>
      </c>
      <c r="K29" s="45">
        <f t="shared" si="3"/>
        <v>3403.96875</v>
      </c>
      <c r="L29" s="45">
        <f t="shared" si="4"/>
        <v>4357.29375</v>
      </c>
      <c r="M29" s="45">
        <f t="shared" si="5"/>
        <v>4824.45</v>
      </c>
      <c r="N29" s="45">
        <f t="shared" si="6"/>
        <v>5792.7375</v>
      </c>
      <c r="O29" s="45">
        <f t="shared" si="7"/>
        <v>8042.2875</v>
      </c>
      <c r="P29" s="45">
        <f t="shared" si="8"/>
        <v>9743.90625</v>
      </c>
      <c r="Q29" s="45">
        <f t="shared" si="9"/>
        <v>11112.80625</v>
      </c>
      <c r="R29" s="45">
        <f t="shared" si="10"/>
        <v>13270.725</v>
      </c>
    </row>
    <row r="30" spans="1:18" ht="12.75">
      <c r="A30" s="50">
        <v>1300</v>
      </c>
      <c r="B30" s="51">
        <v>2.9</v>
      </c>
      <c r="C30" s="51">
        <v>3.44</v>
      </c>
      <c r="D30" s="51">
        <v>3.96</v>
      </c>
      <c r="E30" s="51">
        <v>4.5</v>
      </c>
      <c r="F30" s="51">
        <v>5.04</v>
      </c>
      <c r="G30" s="48">
        <f t="shared" si="11"/>
        <v>27</v>
      </c>
      <c r="H30" s="45">
        <f t="shared" si="0"/>
        <v>633.36</v>
      </c>
      <c r="I30" s="45">
        <f t="shared" si="1"/>
        <v>1643.46</v>
      </c>
      <c r="J30" s="45">
        <f t="shared" si="2"/>
        <v>3081.078</v>
      </c>
      <c r="K30" s="45">
        <f t="shared" si="3"/>
        <v>3513.51</v>
      </c>
      <c r="L30" s="45">
        <f t="shared" si="4"/>
        <v>4501.575</v>
      </c>
      <c r="M30" s="45">
        <f t="shared" si="5"/>
        <v>4984.2</v>
      </c>
      <c r="N30" s="45">
        <f t="shared" si="6"/>
        <v>5984.55</v>
      </c>
      <c r="O30" s="45">
        <f t="shared" si="7"/>
        <v>8314.488</v>
      </c>
      <c r="P30" s="45">
        <f t="shared" si="8"/>
        <v>10073.7</v>
      </c>
      <c r="Q30" s="45">
        <f t="shared" si="9"/>
        <v>11488.931999999999</v>
      </c>
      <c r="R30" s="45">
        <f t="shared" si="10"/>
        <v>13719.888</v>
      </c>
    </row>
    <row r="31" spans="1:18" ht="12.75">
      <c r="A31" s="50">
        <v>1350</v>
      </c>
      <c r="B31" s="51">
        <v>2.88</v>
      </c>
      <c r="C31" s="51">
        <v>3.41</v>
      </c>
      <c r="D31" s="51">
        <v>3.93</v>
      </c>
      <c r="E31" s="51">
        <v>4.46</v>
      </c>
      <c r="F31" s="51">
        <v>4.99</v>
      </c>
      <c r="G31" s="48">
        <f t="shared" si="11"/>
        <v>28</v>
      </c>
      <c r="H31" s="45">
        <f t="shared" si="0"/>
        <v>653.184</v>
      </c>
      <c r="I31" s="45">
        <f t="shared" si="1"/>
        <v>1691.78625</v>
      </c>
      <c r="J31" s="45">
        <f t="shared" si="2"/>
        <v>3175.34175</v>
      </c>
      <c r="K31" s="45">
        <f t="shared" si="3"/>
        <v>3621.00375</v>
      </c>
      <c r="L31" s="45">
        <f t="shared" si="4"/>
        <v>4633.1595</v>
      </c>
      <c r="M31" s="45">
        <f t="shared" si="5"/>
        <v>5129.892</v>
      </c>
      <c r="N31" s="45">
        <f t="shared" si="6"/>
        <v>6159.482999999999</v>
      </c>
      <c r="O31" s="45">
        <f t="shared" si="7"/>
        <v>8548.6185</v>
      </c>
      <c r="P31" s="45">
        <f t="shared" si="8"/>
        <v>10357.36875</v>
      </c>
      <c r="Q31" s="45">
        <f t="shared" si="9"/>
        <v>11812.452749999999</v>
      </c>
      <c r="R31" s="45">
        <f t="shared" si="10"/>
        <v>14106.230999999998</v>
      </c>
    </row>
    <row r="32" spans="1:18" ht="12.75">
      <c r="A32" s="50">
        <v>1400</v>
      </c>
      <c r="B32" s="51">
        <v>2.86</v>
      </c>
      <c r="C32" s="51">
        <v>3.39</v>
      </c>
      <c r="D32" s="51">
        <v>3.9</v>
      </c>
      <c r="E32" s="51">
        <v>4.43</v>
      </c>
      <c r="F32" s="51">
        <v>4.96</v>
      </c>
      <c r="G32" s="48">
        <f t="shared" si="11"/>
        <v>29</v>
      </c>
      <c r="H32" s="45">
        <f t="shared" si="0"/>
        <v>672.672</v>
      </c>
      <c r="I32" s="45">
        <f t="shared" si="1"/>
        <v>1744.155</v>
      </c>
      <c r="J32" s="45">
        <f t="shared" si="2"/>
        <v>3267.81</v>
      </c>
      <c r="K32" s="45">
        <f t="shared" si="3"/>
        <v>3726.45</v>
      </c>
      <c r="L32" s="45">
        <f t="shared" si="4"/>
        <v>4772.438999999999</v>
      </c>
      <c r="M32" s="45">
        <f t="shared" si="5"/>
        <v>5284.104</v>
      </c>
      <c r="N32" s="45">
        <f t="shared" si="6"/>
        <v>6344.646</v>
      </c>
      <c r="O32" s="45">
        <f t="shared" si="7"/>
        <v>8811.936</v>
      </c>
      <c r="P32" s="45">
        <f t="shared" si="8"/>
        <v>10676.4</v>
      </c>
      <c r="Q32" s="45">
        <f t="shared" si="9"/>
        <v>12176.303999999998</v>
      </c>
      <c r="R32" s="45">
        <f t="shared" si="10"/>
        <v>14540.735999999999</v>
      </c>
    </row>
    <row r="33" spans="1:18" ht="12.75">
      <c r="A33" s="50">
        <v>1450</v>
      </c>
      <c r="B33" s="51">
        <v>2.84</v>
      </c>
      <c r="C33" s="51">
        <v>3.36</v>
      </c>
      <c r="D33" s="51">
        <v>3.87</v>
      </c>
      <c r="E33" s="51">
        <v>4.4</v>
      </c>
      <c r="F33" s="51">
        <v>4.92</v>
      </c>
      <c r="G33" s="48">
        <f t="shared" si="11"/>
        <v>30</v>
      </c>
      <c r="H33" s="45">
        <f t="shared" si="0"/>
        <v>691.824</v>
      </c>
      <c r="I33" s="45">
        <f t="shared" si="1"/>
        <v>1790.46</v>
      </c>
      <c r="J33" s="45">
        <f t="shared" si="2"/>
        <v>3358.4827499999997</v>
      </c>
      <c r="K33" s="45">
        <f t="shared" si="3"/>
        <v>3829.84875</v>
      </c>
      <c r="L33" s="45">
        <f t="shared" si="4"/>
        <v>4909.410000000001</v>
      </c>
      <c r="M33" s="45">
        <f t="shared" si="5"/>
        <v>5435.76</v>
      </c>
      <c r="N33" s="45">
        <f t="shared" si="6"/>
        <v>6526.740000000002</v>
      </c>
      <c r="O33" s="45">
        <f t="shared" si="7"/>
        <v>9053.046</v>
      </c>
      <c r="P33" s="45">
        <f t="shared" si="8"/>
        <v>10968.525</v>
      </c>
      <c r="Q33" s="45">
        <f t="shared" si="9"/>
        <v>12509.469</v>
      </c>
      <c r="R33" s="45">
        <f t="shared" si="10"/>
        <v>14938.595999999998</v>
      </c>
    </row>
    <row r="34" spans="1:18" ht="12.75">
      <c r="A34" s="50">
        <v>1500</v>
      </c>
      <c r="B34" s="51">
        <v>2.82</v>
      </c>
      <c r="C34" s="51">
        <v>3.34</v>
      </c>
      <c r="D34" s="51">
        <v>3.85</v>
      </c>
      <c r="E34" s="51">
        <v>4.37</v>
      </c>
      <c r="F34" s="51">
        <v>4.88</v>
      </c>
      <c r="G34" s="48">
        <f t="shared" si="11"/>
        <v>31</v>
      </c>
      <c r="H34" s="45">
        <f t="shared" si="0"/>
        <v>710.64</v>
      </c>
      <c r="I34" s="45">
        <f t="shared" si="1"/>
        <v>1841.175</v>
      </c>
      <c r="J34" s="45">
        <f t="shared" si="2"/>
        <v>3456.3375</v>
      </c>
      <c r="K34" s="45">
        <f t="shared" si="3"/>
        <v>3941.4375</v>
      </c>
      <c r="L34" s="45">
        <f t="shared" si="4"/>
        <v>5044.0725</v>
      </c>
      <c r="M34" s="45">
        <f t="shared" si="5"/>
        <v>5584.86</v>
      </c>
      <c r="N34" s="45">
        <f t="shared" si="6"/>
        <v>6705.765</v>
      </c>
      <c r="O34" s="45">
        <f t="shared" si="7"/>
        <v>9289.08</v>
      </c>
      <c r="P34" s="45">
        <f t="shared" si="8"/>
        <v>11254.5</v>
      </c>
      <c r="Q34" s="45">
        <f t="shared" si="9"/>
        <v>12835.62</v>
      </c>
      <c r="R34" s="45">
        <f t="shared" si="10"/>
        <v>15328.08</v>
      </c>
    </row>
    <row r="35" spans="1:18" ht="12.75">
      <c r="A35" s="50">
        <v>1550</v>
      </c>
      <c r="B35" s="51">
        <v>2.8</v>
      </c>
      <c r="C35" s="51">
        <v>3.31</v>
      </c>
      <c r="D35" s="51">
        <v>3.82</v>
      </c>
      <c r="E35" s="51">
        <v>4.34</v>
      </c>
      <c r="F35" s="51">
        <v>4.85</v>
      </c>
      <c r="G35" s="48">
        <f t="shared" si="11"/>
        <v>32</v>
      </c>
      <c r="H35" s="45">
        <f t="shared" si="0"/>
        <v>729.12</v>
      </c>
      <c r="I35" s="45">
        <f t="shared" si="1"/>
        <v>1885.45875</v>
      </c>
      <c r="J35" s="45">
        <f t="shared" si="2"/>
        <v>3543.7185</v>
      </c>
      <c r="K35" s="45">
        <f t="shared" si="3"/>
        <v>4041.0825</v>
      </c>
      <c r="L35" s="45">
        <f t="shared" si="4"/>
        <v>5176.4265</v>
      </c>
      <c r="M35" s="45">
        <f t="shared" si="5"/>
        <v>5731.404</v>
      </c>
      <c r="N35" s="45">
        <f t="shared" si="6"/>
        <v>6881.721</v>
      </c>
      <c r="O35" s="45">
        <f t="shared" si="7"/>
        <v>9539.707499999997</v>
      </c>
      <c r="P35" s="45">
        <f t="shared" si="8"/>
        <v>11558.156249999998</v>
      </c>
      <c r="Q35" s="45">
        <f t="shared" si="9"/>
        <v>13181.936249999997</v>
      </c>
      <c r="R35" s="45">
        <f t="shared" si="10"/>
        <v>15741.644999999997</v>
      </c>
    </row>
    <row r="36" spans="1:18" ht="12.75">
      <c r="A36" s="50">
        <v>1600</v>
      </c>
      <c r="B36" s="51">
        <v>2.78</v>
      </c>
      <c r="C36" s="51">
        <v>3.29</v>
      </c>
      <c r="D36" s="51">
        <v>3.79</v>
      </c>
      <c r="E36" s="51">
        <v>4.32</v>
      </c>
      <c r="F36" s="51">
        <v>4.81</v>
      </c>
      <c r="G36" s="48">
        <f t="shared" si="11"/>
        <v>33</v>
      </c>
      <c r="H36" s="45">
        <f t="shared" si="0"/>
        <v>747.2639999999999</v>
      </c>
      <c r="I36" s="45">
        <f t="shared" si="1"/>
        <v>1934.52</v>
      </c>
      <c r="J36" s="45">
        <f t="shared" si="2"/>
        <v>3629.3039999999996</v>
      </c>
      <c r="K36" s="45">
        <f t="shared" si="3"/>
        <v>4138.68</v>
      </c>
      <c r="L36" s="45">
        <f t="shared" si="4"/>
        <v>5318.784000000001</v>
      </c>
      <c r="M36" s="45">
        <f t="shared" si="5"/>
        <v>5889.024</v>
      </c>
      <c r="N36" s="45">
        <f t="shared" si="6"/>
        <v>7070.976</v>
      </c>
      <c r="O36" s="45">
        <f t="shared" si="7"/>
        <v>9766.223999999998</v>
      </c>
      <c r="P36" s="45">
        <f t="shared" si="8"/>
        <v>11832.599999999999</v>
      </c>
      <c r="Q36" s="45">
        <f t="shared" si="9"/>
        <v>13494.935999999996</v>
      </c>
      <c r="R36" s="45">
        <f t="shared" si="10"/>
        <v>16115.423999999997</v>
      </c>
    </row>
    <row r="37" spans="1:18" ht="12.75">
      <c r="A37" s="50">
        <v>1650</v>
      </c>
      <c r="B37" s="51">
        <v>2.76</v>
      </c>
      <c r="C37" s="51">
        <v>3.26</v>
      </c>
      <c r="D37" s="51">
        <v>3.76</v>
      </c>
      <c r="E37" s="51">
        <v>4.27</v>
      </c>
      <c r="F37" s="51">
        <v>4.77</v>
      </c>
      <c r="G37" s="48">
        <f t="shared" si="11"/>
        <v>34</v>
      </c>
      <c r="H37" s="45">
        <f aca="true" t="shared" si="12" ref="H37:H68">$A37*$B37*H$2*$J$127*$J$128*$J$129*$J$130/100</f>
        <v>765.072</v>
      </c>
      <c r="I37" s="45">
        <f aca="true" t="shared" si="13" ref="I37:I68">$A37*$C37*$I$2*$J$127*$J$128*$J$129*$J$130/100</f>
        <v>1976.7825</v>
      </c>
      <c r="J37" s="45">
        <f aca="true" t="shared" si="14" ref="J37:J68">$A37*$D37*$J$2*$J$127*$J$128*$J$129*$J$130/100</f>
        <v>3713.0939999999996</v>
      </c>
      <c r="K37" s="45">
        <f aca="true" t="shared" si="15" ref="K37:K68">$A37*$D37*$K$2*$J$127*$J$128*$J$129*$J$130/100</f>
        <v>4234.23</v>
      </c>
      <c r="L37" s="45">
        <f aca="true" t="shared" si="16" ref="L37:L68">$A37*$E37*$L$2*$J$127*$J$128*$J$129*$J$130/100</f>
        <v>5421.512249999999</v>
      </c>
      <c r="M37" s="45">
        <f aca="true" t="shared" si="17" ref="M37:M68">$A37*$E37*$M$2*$J$127*$J$128*$J$129*$J$130/100</f>
        <v>6002.765999999999</v>
      </c>
      <c r="N37" s="45">
        <f aca="true" t="shared" si="18" ref="N37:N68">$A37*$E37*$N$2*$J$127*$J$128*$J$129*$J$130/100</f>
        <v>7207.546499999998</v>
      </c>
      <c r="O37" s="45">
        <f aca="true" t="shared" si="19" ref="O37:O68">$A37*$F37*$O$2*$J$127*$J$128*$J$129*$J$130/100</f>
        <v>9987.664499999999</v>
      </c>
      <c r="P37" s="45">
        <f aca="true" t="shared" si="20" ref="P37:P68">$A37*$F37*$P$2*$J$127*$J$128*$J$129*$J$130/100</f>
        <v>12100.893749999997</v>
      </c>
      <c r="Q37" s="45">
        <f aca="true" t="shared" si="21" ref="Q37:Q68">$A37*$F37*$Q$2*$J$127*$J$128*$J$129*$J$130/100</f>
        <v>13800.921749999996</v>
      </c>
      <c r="R37" s="45">
        <f aca="true" t="shared" si="22" ref="R37:R68">$A37*$F37*$R$2*$J$127*$J$128*$J$129*$J$130/100</f>
        <v>16480.826999999997</v>
      </c>
    </row>
    <row r="38" spans="1:18" ht="12.75">
      <c r="A38" s="50">
        <v>1700</v>
      </c>
      <c r="B38" s="51">
        <v>2.74</v>
      </c>
      <c r="C38" s="51">
        <v>3.24</v>
      </c>
      <c r="D38" s="51">
        <v>3.73</v>
      </c>
      <c r="E38" s="51">
        <v>4.24</v>
      </c>
      <c r="F38" s="51">
        <v>4.73</v>
      </c>
      <c r="G38" s="48">
        <f aca="true" t="shared" si="23" ref="G38:G69">G37+1</f>
        <v>35</v>
      </c>
      <c r="H38" s="45">
        <f t="shared" si="12"/>
        <v>782.544</v>
      </c>
      <c r="I38" s="45">
        <f t="shared" si="13"/>
        <v>2024.19</v>
      </c>
      <c r="J38" s="45">
        <f t="shared" si="14"/>
        <v>3795.0885</v>
      </c>
      <c r="K38" s="45">
        <f t="shared" si="15"/>
        <v>4327.7325</v>
      </c>
      <c r="L38" s="45">
        <f t="shared" si="16"/>
        <v>5546.556</v>
      </c>
      <c r="M38" s="45">
        <f t="shared" si="17"/>
        <v>6141.215999999999</v>
      </c>
      <c r="N38" s="45">
        <f t="shared" si="18"/>
        <v>7373.784000000001</v>
      </c>
      <c r="O38" s="45">
        <f t="shared" si="19"/>
        <v>10204.029000000002</v>
      </c>
      <c r="P38" s="45">
        <f t="shared" si="20"/>
        <v>12363.0375</v>
      </c>
      <c r="Q38" s="45">
        <f t="shared" si="21"/>
        <v>14099.893500000004</v>
      </c>
      <c r="R38" s="45">
        <f t="shared" si="22"/>
        <v>16837.854000000003</v>
      </c>
    </row>
    <row r="39" spans="1:18" ht="12.75">
      <c r="A39" s="50">
        <v>1750</v>
      </c>
      <c r="B39" s="51">
        <v>2.72</v>
      </c>
      <c r="C39" s="51">
        <v>3.22</v>
      </c>
      <c r="D39" s="51">
        <v>3.7</v>
      </c>
      <c r="E39" s="51">
        <v>4.21</v>
      </c>
      <c r="F39" s="51">
        <v>4.69</v>
      </c>
      <c r="G39" s="48">
        <f t="shared" si="23"/>
        <v>36</v>
      </c>
      <c r="H39" s="45">
        <f t="shared" si="12"/>
        <v>799.68</v>
      </c>
      <c r="I39" s="45">
        <f t="shared" si="13"/>
        <v>2070.8625</v>
      </c>
      <c r="J39" s="45">
        <f t="shared" si="14"/>
        <v>3875.2875</v>
      </c>
      <c r="K39" s="45">
        <f t="shared" si="15"/>
        <v>4419.1875</v>
      </c>
      <c r="L39" s="45">
        <f t="shared" si="16"/>
        <v>5669.29125</v>
      </c>
      <c r="M39" s="45">
        <f t="shared" si="17"/>
        <v>6277.11</v>
      </c>
      <c r="N39" s="45">
        <f t="shared" si="18"/>
        <v>7536.9525</v>
      </c>
      <c r="O39" s="45">
        <f t="shared" si="19"/>
        <v>10415.3175</v>
      </c>
      <c r="P39" s="45">
        <f t="shared" si="20"/>
        <v>12619.03125</v>
      </c>
      <c r="Q39" s="45">
        <f t="shared" si="21"/>
        <v>14391.85125</v>
      </c>
      <c r="R39" s="45">
        <f t="shared" si="22"/>
        <v>17186.505</v>
      </c>
    </row>
    <row r="40" spans="1:18" ht="12.75">
      <c r="A40" s="50">
        <v>1800</v>
      </c>
      <c r="B40" s="51">
        <v>2.7</v>
      </c>
      <c r="C40" s="51">
        <v>3.19</v>
      </c>
      <c r="D40" s="51">
        <v>3.67</v>
      </c>
      <c r="E40" s="51">
        <v>4.17</v>
      </c>
      <c r="F40" s="51">
        <v>4.66</v>
      </c>
      <c r="G40" s="48">
        <f t="shared" si="23"/>
        <v>37</v>
      </c>
      <c r="H40" s="45">
        <f t="shared" si="12"/>
        <v>816.48</v>
      </c>
      <c r="I40" s="45">
        <f t="shared" si="13"/>
        <v>2110.185</v>
      </c>
      <c r="J40" s="45">
        <f t="shared" si="14"/>
        <v>3953.691</v>
      </c>
      <c r="K40" s="45">
        <f t="shared" si="15"/>
        <v>4508.595</v>
      </c>
      <c r="L40" s="45">
        <f t="shared" si="16"/>
        <v>5775.866999999999</v>
      </c>
      <c r="M40" s="45">
        <f t="shared" si="17"/>
        <v>6395.111999999999</v>
      </c>
      <c r="N40" s="45">
        <f t="shared" si="18"/>
        <v>7678.637999999999</v>
      </c>
      <c r="O40" s="45">
        <f t="shared" si="19"/>
        <v>10644.372</v>
      </c>
      <c r="P40" s="45">
        <f t="shared" si="20"/>
        <v>12896.55</v>
      </c>
      <c r="Q40" s="45">
        <f t="shared" si="21"/>
        <v>14708.358</v>
      </c>
      <c r="R40" s="45">
        <f t="shared" si="22"/>
        <v>17564.471999999998</v>
      </c>
    </row>
    <row r="41" spans="1:18" ht="12.75">
      <c r="A41" s="50">
        <v>1850</v>
      </c>
      <c r="B41" s="51">
        <v>2.68</v>
      </c>
      <c r="C41" s="51">
        <v>3.17</v>
      </c>
      <c r="D41" s="51">
        <v>3.64</v>
      </c>
      <c r="E41" s="51">
        <v>4.14</v>
      </c>
      <c r="F41" s="51">
        <v>4.62</v>
      </c>
      <c r="G41" s="48">
        <f t="shared" si="23"/>
        <v>38</v>
      </c>
      <c r="H41" s="45">
        <f t="shared" si="12"/>
        <v>832.944</v>
      </c>
      <c r="I41" s="45">
        <f t="shared" si="13"/>
        <v>2155.20375</v>
      </c>
      <c r="J41" s="45">
        <f t="shared" si="14"/>
        <v>4030.2989999999995</v>
      </c>
      <c r="K41" s="45">
        <f t="shared" si="15"/>
        <v>4595.955</v>
      </c>
      <c r="L41" s="45">
        <f t="shared" si="16"/>
        <v>5893.6005</v>
      </c>
      <c r="M41" s="45">
        <f t="shared" si="17"/>
        <v>6525.467999999998</v>
      </c>
      <c r="N41" s="45">
        <f t="shared" si="18"/>
        <v>7835.156999999998</v>
      </c>
      <c r="O41" s="45">
        <f t="shared" si="19"/>
        <v>10846.143</v>
      </c>
      <c r="P41" s="45">
        <f t="shared" si="20"/>
        <v>13141.0125</v>
      </c>
      <c r="Q41" s="45">
        <f t="shared" si="21"/>
        <v>14987.164499999999</v>
      </c>
      <c r="R41" s="45">
        <f t="shared" si="22"/>
        <v>17897.418</v>
      </c>
    </row>
    <row r="42" spans="1:18" ht="12.75">
      <c r="A42" s="50">
        <v>1900</v>
      </c>
      <c r="B42" s="51">
        <v>2.66</v>
      </c>
      <c r="C42" s="51">
        <v>3.14</v>
      </c>
      <c r="D42" s="51">
        <v>3.61</v>
      </c>
      <c r="E42" s="51">
        <v>4.11</v>
      </c>
      <c r="F42" s="51">
        <v>4.58</v>
      </c>
      <c r="G42" s="48">
        <f t="shared" si="23"/>
        <v>39</v>
      </c>
      <c r="H42" s="45">
        <f t="shared" si="12"/>
        <v>849.072</v>
      </c>
      <c r="I42" s="45">
        <f t="shared" si="13"/>
        <v>2192.505</v>
      </c>
      <c r="J42" s="45">
        <f t="shared" si="14"/>
        <v>4105.1115</v>
      </c>
      <c r="K42" s="45">
        <f t="shared" si="15"/>
        <v>4681.2675</v>
      </c>
      <c r="L42" s="45">
        <f t="shared" si="16"/>
        <v>6009.025500000001</v>
      </c>
      <c r="M42" s="45">
        <f t="shared" si="17"/>
        <v>6653.268000000002</v>
      </c>
      <c r="N42" s="45">
        <f t="shared" si="18"/>
        <v>7988.607000000001</v>
      </c>
      <c r="O42" s="45">
        <f t="shared" si="19"/>
        <v>11042.838</v>
      </c>
      <c r="P42" s="45">
        <f t="shared" si="20"/>
        <v>13379.325</v>
      </c>
      <c r="Q42" s="45">
        <f t="shared" si="21"/>
        <v>15258.957</v>
      </c>
      <c r="R42" s="45">
        <f t="shared" si="22"/>
        <v>18221.988</v>
      </c>
    </row>
    <row r="43" spans="1:18" ht="12.75">
      <c r="A43" s="50">
        <v>1950</v>
      </c>
      <c r="B43" s="51">
        <v>2.64</v>
      </c>
      <c r="C43" s="51">
        <v>3.12</v>
      </c>
      <c r="D43" s="51">
        <v>3.58</v>
      </c>
      <c r="E43" s="51">
        <v>4.07</v>
      </c>
      <c r="F43" s="51">
        <v>4.54</v>
      </c>
      <c r="G43" s="48">
        <f t="shared" si="23"/>
        <v>40</v>
      </c>
      <c r="H43" s="45">
        <f t="shared" si="12"/>
        <v>864.8639999999999</v>
      </c>
      <c r="I43" s="45">
        <f t="shared" si="13"/>
        <v>2235.87</v>
      </c>
      <c r="J43" s="45">
        <f t="shared" si="14"/>
        <v>4178.1285</v>
      </c>
      <c r="K43" s="45">
        <f t="shared" si="15"/>
        <v>4764.5325</v>
      </c>
      <c r="L43" s="45">
        <f t="shared" si="16"/>
        <v>6107.136750000001</v>
      </c>
      <c r="M43" s="45">
        <f t="shared" si="17"/>
        <v>6761.898000000002</v>
      </c>
      <c r="N43" s="45">
        <f t="shared" si="18"/>
        <v>8119.039500000001</v>
      </c>
      <c r="O43" s="45">
        <f t="shared" si="19"/>
        <v>11234.457</v>
      </c>
      <c r="P43" s="45">
        <f t="shared" si="20"/>
        <v>13611.4875</v>
      </c>
      <c r="Q43" s="45">
        <f t="shared" si="21"/>
        <v>15523.7355</v>
      </c>
      <c r="R43" s="45">
        <f t="shared" si="22"/>
        <v>18538.182</v>
      </c>
    </row>
    <row r="44" spans="1:18" ht="12.75">
      <c r="A44" s="50">
        <v>2000</v>
      </c>
      <c r="B44" s="51">
        <v>2.62</v>
      </c>
      <c r="C44" s="51">
        <v>3.09</v>
      </c>
      <c r="D44" s="51">
        <v>3.56</v>
      </c>
      <c r="E44" s="51">
        <v>4.04</v>
      </c>
      <c r="F44" s="51">
        <v>4.5</v>
      </c>
      <c r="G44" s="48">
        <f t="shared" si="23"/>
        <v>41</v>
      </c>
      <c r="H44" s="45">
        <f t="shared" si="12"/>
        <v>880.32</v>
      </c>
      <c r="I44" s="45">
        <f t="shared" si="13"/>
        <v>2271.15</v>
      </c>
      <c r="J44" s="45">
        <f t="shared" si="14"/>
        <v>4261.32</v>
      </c>
      <c r="K44" s="45">
        <f t="shared" si="15"/>
        <v>4859.4</v>
      </c>
      <c r="L44" s="45">
        <f t="shared" si="16"/>
        <v>6217.56</v>
      </c>
      <c r="M44" s="45">
        <f t="shared" si="17"/>
        <v>6884.16</v>
      </c>
      <c r="N44" s="45">
        <f t="shared" si="18"/>
        <v>8265.84</v>
      </c>
      <c r="O44" s="45">
        <f t="shared" si="19"/>
        <v>11421</v>
      </c>
      <c r="P44" s="45">
        <f t="shared" si="20"/>
        <v>13837.5</v>
      </c>
      <c r="Q44" s="45">
        <f t="shared" si="21"/>
        <v>15781.5</v>
      </c>
      <c r="R44" s="45">
        <f t="shared" si="22"/>
        <v>18846</v>
      </c>
    </row>
    <row r="45" spans="1:18" ht="12.75">
      <c r="A45" s="50">
        <v>2100</v>
      </c>
      <c r="B45" s="51">
        <v>2.6</v>
      </c>
      <c r="C45" s="51">
        <v>3.04</v>
      </c>
      <c r="D45" s="51">
        <v>3.5</v>
      </c>
      <c r="E45" s="51">
        <v>3.97</v>
      </c>
      <c r="F45" s="51">
        <v>4.43</v>
      </c>
      <c r="G45" s="48">
        <f t="shared" si="23"/>
        <v>42</v>
      </c>
      <c r="H45" s="45">
        <f t="shared" si="12"/>
        <v>917.28</v>
      </c>
      <c r="I45" s="45">
        <f t="shared" si="13"/>
        <v>2346.12</v>
      </c>
      <c r="J45" s="45">
        <f t="shared" si="14"/>
        <v>4398.975</v>
      </c>
      <c r="K45" s="45">
        <f t="shared" si="15"/>
        <v>5016.375</v>
      </c>
      <c r="L45" s="45">
        <f t="shared" si="16"/>
        <v>6415.3215</v>
      </c>
      <c r="M45" s="45">
        <f t="shared" si="17"/>
        <v>7103.124</v>
      </c>
      <c r="N45" s="45">
        <f t="shared" si="18"/>
        <v>8528.751</v>
      </c>
      <c r="O45" s="45">
        <f t="shared" si="19"/>
        <v>11805.507</v>
      </c>
      <c r="P45" s="45">
        <f t="shared" si="20"/>
        <v>14303.3625</v>
      </c>
      <c r="Q45" s="45">
        <f t="shared" si="21"/>
        <v>16312.8105</v>
      </c>
      <c r="R45" s="45">
        <f t="shared" si="22"/>
        <v>19480.482</v>
      </c>
    </row>
    <row r="46" spans="1:18" ht="12.75">
      <c r="A46" s="50">
        <v>2200</v>
      </c>
      <c r="B46" s="51">
        <v>2.54</v>
      </c>
      <c r="C46" s="51">
        <v>2.99</v>
      </c>
      <c r="D46" s="51">
        <v>3.44</v>
      </c>
      <c r="E46" s="51">
        <v>3.91</v>
      </c>
      <c r="F46" s="51">
        <v>4.35</v>
      </c>
      <c r="G46" s="48">
        <f t="shared" si="23"/>
        <v>43</v>
      </c>
      <c r="H46" s="45">
        <f t="shared" si="12"/>
        <v>938.784</v>
      </c>
      <c r="I46" s="45">
        <f t="shared" si="13"/>
        <v>2417.4150000000004</v>
      </c>
      <c r="J46" s="45">
        <f t="shared" si="14"/>
        <v>4529.448</v>
      </c>
      <c r="K46" s="45">
        <f t="shared" si="15"/>
        <v>5165.16</v>
      </c>
      <c r="L46" s="45">
        <f t="shared" si="16"/>
        <v>6619.2390000000005</v>
      </c>
      <c r="M46" s="45">
        <f t="shared" si="17"/>
        <v>7328.904</v>
      </c>
      <c r="N46" s="45">
        <f t="shared" si="18"/>
        <v>8799.846</v>
      </c>
      <c r="O46" s="45">
        <f t="shared" si="19"/>
        <v>12144.33</v>
      </c>
      <c r="P46" s="45">
        <f t="shared" si="20"/>
        <v>14713.875</v>
      </c>
      <c r="Q46" s="45">
        <f t="shared" si="21"/>
        <v>16780.995</v>
      </c>
      <c r="R46" s="45">
        <f t="shared" si="22"/>
        <v>20039.58</v>
      </c>
    </row>
    <row r="47" spans="1:18" ht="12.75">
      <c r="A47" s="50">
        <v>2300</v>
      </c>
      <c r="B47" s="51">
        <v>2.5</v>
      </c>
      <c r="C47" s="51">
        <v>2.94</v>
      </c>
      <c r="D47" s="51">
        <v>3.38</v>
      </c>
      <c r="E47" s="51">
        <v>3.84</v>
      </c>
      <c r="F47" s="51">
        <v>4.28</v>
      </c>
      <c r="G47" s="48">
        <f t="shared" si="23"/>
        <v>44</v>
      </c>
      <c r="H47" s="45">
        <f t="shared" si="12"/>
        <v>966</v>
      </c>
      <c r="I47" s="45">
        <f t="shared" si="13"/>
        <v>2485.035</v>
      </c>
      <c r="J47" s="45">
        <f t="shared" si="14"/>
        <v>4652.739</v>
      </c>
      <c r="K47" s="45">
        <f t="shared" si="15"/>
        <v>5305.755</v>
      </c>
      <c r="L47" s="45">
        <f t="shared" si="16"/>
        <v>6796.224</v>
      </c>
      <c r="M47" s="45">
        <f t="shared" si="17"/>
        <v>7524.8640000000005</v>
      </c>
      <c r="N47" s="45">
        <f t="shared" si="18"/>
        <v>9035.136</v>
      </c>
      <c r="O47" s="45">
        <f t="shared" si="19"/>
        <v>12492.035999999998</v>
      </c>
      <c r="P47" s="45">
        <f t="shared" si="20"/>
        <v>15135.15</v>
      </c>
      <c r="Q47" s="45">
        <f t="shared" si="21"/>
        <v>17261.453999999998</v>
      </c>
      <c r="R47" s="45">
        <f t="shared" si="22"/>
        <v>20613.336</v>
      </c>
    </row>
    <row r="48" spans="1:18" ht="12.75">
      <c r="A48" s="50">
        <v>2400</v>
      </c>
      <c r="B48" s="51">
        <v>2.46</v>
      </c>
      <c r="C48" s="51">
        <v>2.89</v>
      </c>
      <c r="D48" s="51">
        <v>3.32</v>
      </c>
      <c r="E48" s="51">
        <v>3.77</v>
      </c>
      <c r="F48" s="51">
        <v>4.2</v>
      </c>
      <c r="G48" s="48">
        <f t="shared" si="23"/>
        <v>45</v>
      </c>
      <c r="H48" s="45">
        <f t="shared" si="12"/>
        <v>991.872</v>
      </c>
      <c r="I48" s="45">
        <f t="shared" si="13"/>
        <v>2548.98</v>
      </c>
      <c r="J48" s="45">
        <f t="shared" si="14"/>
        <v>4768.848</v>
      </c>
      <c r="K48" s="45">
        <f t="shared" si="15"/>
        <v>5438.16</v>
      </c>
      <c r="L48" s="45">
        <f t="shared" si="16"/>
        <v>6962.436</v>
      </c>
      <c r="M48" s="45">
        <f t="shared" si="17"/>
        <v>7708.896</v>
      </c>
      <c r="N48" s="45">
        <f t="shared" si="18"/>
        <v>9256.104</v>
      </c>
      <c r="O48" s="45">
        <f t="shared" si="19"/>
        <v>12791.52</v>
      </c>
      <c r="P48" s="45">
        <f t="shared" si="20"/>
        <v>15498</v>
      </c>
      <c r="Q48" s="45">
        <f t="shared" si="21"/>
        <v>17675.28</v>
      </c>
      <c r="R48" s="45">
        <f t="shared" si="22"/>
        <v>21107.52</v>
      </c>
    </row>
    <row r="49" spans="1:18" ht="12.75">
      <c r="A49" s="50">
        <v>2500</v>
      </c>
      <c r="B49" s="51">
        <v>2.42</v>
      </c>
      <c r="C49" s="51">
        <v>2.84</v>
      </c>
      <c r="D49" s="51">
        <v>3.27</v>
      </c>
      <c r="E49" s="51">
        <v>3.7</v>
      </c>
      <c r="F49" s="51">
        <v>4.12</v>
      </c>
      <c r="G49" s="48">
        <f t="shared" si="23"/>
        <v>46</v>
      </c>
      <c r="H49" s="45">
        <f t="shared" si="12"/>
        <v>1016.4</v>
      </c>
      <c r="I49" s="45">
        <f t="shared" si="13"/>
        <v>2609.25</v>
      </c>
      <c r="J49" s="45">
        <f t="shared" si="14"/>
        <v>4892.7375</v>
      </c>
      <c r="K49" s="45">
        <f t="shared" si="15"/>
        <v>5579.4375</v>
      </c>
      <c r="L49" s="45">
        <f t="shared" si="16"/>
        <v>7117.875</v>
      </c>
      <c r="M49" s="45">
        <f t="shared" si="17"/>
        <v>7881</v>
      </c>
      <c r="N49" s="45">
        <f t="shared" si="18"/>
        <v>9462.75</v>
      </c>
      <c r="O49" s="45">
        <f t="shared" si="19"/>
        <v>13070.7</v>
      </c>
      <c r="P49" s="45">
        <f t="shared" si="20"/>
        <v>15836.25</v>
      </c>
      <c r="Q49" s="45">
        <f t="shared" si="21"/>
        <v>18061.05</v>
      </c>
      <c r="R49" s="45">
        <f t="shared" si="22"/>
        <v>21568.2</v>
      </c>
    </row>
    <row r="50" spans="1:18" ht="12.75" hidden="1">
      <c r="A50" s="52">
        <v>2750</v>
      </c>
      <c r="B50" s="53">
        <f>B49+($A50-$A49)*(B55-B49)/($A55-$A49)</f>
        <v>2.375</v>
      </c>
      <c r="C50" s="53">
        <f>C49+($A50-$A49)*(C55-C49)/($A55-$A49)</f>
        <v>2.79</v>
      </c>
      <c r="D50" s="53">
        <f>D49+($A50-$A49)*(D55-D49)/($A55-$A49)</f>
        <v>3.205</v>
      </c>
      <c r="E50" s="53">
        <f>E49+($A50-$A49)*(E55-E49)/($A55-$A49)</f>
        <v>3.625</v>
      </c>
      <c r="F50" s="53">
        <f>F49+($A50-$A49)*(F55-F49)/($A55-$A49)</f>
        <v>4.035</v>
      </c>
      <c r="G50" s="48">
        <f t="shared" si="23"/>
        <v>47</v>
      </c>
      <c r="H50" s="45">
        <f t="shared" si="12"/>
        <v>1097.25</v>
      </c>
      <c r="I50" s="45">
        <f t="shared" si="13"/>
        <v>2819.64375</v>
      </c>
      <c r="J50" s="45">
        <f t="shared" si="14"/>
        <v>5275.029375</v>
      </c>
      <c r="K50" s="45">
        <f t="shared" si="15"/>
        <v>6015.384375</v>
      </c>
      <c r="L50" s="45">
        <f t="shared" si="16"/>
        <v>7670.953125</v>
      </c>
      <c r="M50" s="45">
        <f t="shared" si="17"/>
        <v>8493.375</v>
      </c>
      <c r="N50" s="45">
        <f t="shared" si="18"/>
        <v>10198.03125</v>
      </c>
      <c r="O50" s="45">
        <f t="shared" si="19"/>
        <v>14081.14125</v>
      </c>
      <c r="P50" s="45">
        <f t="shared" si="20"/>
        <v>17060.484375</v>
      </c>
      <c r="Q50" s="45">
        <f t="shared" si="21"/>
        <v>19457.274375</v>
      </c>
      <c r="R50" s="45">
        <f t="shared" si="22"/>
        <v>23235.5475</v>
      </c>
    </row>
    <row r="51" spans="1:18" s="49" customFormat="1" ht="12.75">
      <c r="A51" s="45">
        <v>2600</v>
      </c>
      <c r="B51" s="46">
        <v>2.4</v>
      </c>
      <c r="C51" s="46">
        <v>2.82</v>
      </c>
      <c r="D51" s="46">
        <v>3.25</v>
      </c>
      <c r="E51" s="46">
        <v>3.67</v>
      </c>
      <c r="F51" s="46">
        <v>4.09</v>
      </c>
      <c r="G51" s="48">
        <f t="shared" si="23"/>
        <v>48</v>
      </c>
      <c r="H51" s="45">
        <f t="shared" si="12"/>
        <v>1048.32</v>
      </c>
      <c r="I51" s="45">
        <f t="shared" si="13"/>
        <v>2694.51</v>
      </c>
      <c r="J51" s="45">
        <f t="shared" si="14"/>
        <v>5057.325</v>
      </c>
      <c r="K51" s="45">
        <f t="shared" si="15"/>
        <v>5767.125</v>
      </c>
      <c r="L51" s="45">
        <f t="shared" si="16"/>
        <v>7342.569</v>
      </c>
      <c r="M51" s="45">
        <f t="shared" si="17"/>
        <v>8129.784000000001</v>
      </c>
      <c r="N51" s="45">
        <f t="shared" si="18"/>
        <v>9761.466</v>
      </c>
      <c r="O51" s="45">
        <f t="shared" si="19"/>
        <v>13494.545999999998</v>
      </c>
      <c r="P51" s="45">
        <f t="shared" si="20"/>
        <v>16349.775</v>
      </c>
      <c r="Q51" s="45">
        <f t="shared" si="21"/>
        <v>18646.718999999997</v>
      </c>
      <c r="R51" s="45">
        <f t="shared" si="22"/>
        <v>22267.596</v>
      </c>
    </row>
    <row r="52" spans="1:18" s="49" customFormat="1" ht="12.75">
      <c r="A52" s="45">
        <v>2700</v>
      </c>
      <c r="B52" s="46">
        <v>2.38</v>
      </c>
      <c r="C52" s="46">
        <v>2.8</v>
      </c>
      <c r="D52" s="46">
        <v>3.22</v>
      </c>
      <c r="E52" s="46">
        <v>3.64</v>
      </c>
      <c r="F52" s="46">
        <v>4.05</v>
      </c>
      <c r="G52" s="48">
        <f t="shared" si="23"/>
        <v>49</v>
      </c>
      <c r="H52" s="45">
        <f t="shared" si="12"/>
        <v>1079.568</v>
      </c>
      <c r="I52" s="45">
        <f t="shared" si="13"/>
        <v>2778.2999999999993</v>
      </c>
      <c r="J52" s="45">
        <f t="shared" si="14"/>
        <v>5203.3589999999995</v>
      </c>
      <c r="K52" s="45">
        <f t="shared" si="15"/>
        <v>5933.655</v>
      </c>
      <c r="L52" s="45">
        <f t="shared" si="16"/>
        <v>7562.646</v>
      </c>
      <c r="M52" s="45">
        <f t="shared" si="17"/>
        <v>8373.456</v>
      </c>
      <c r="N52" s="45">
        <f t="shared" si="18"/>
        <v>10054.044</v>
      </c>
      <c r="O52" s="45">
        <f t="shared" si="19"/>
        <v>13876.515</v>
      </c>
      <c r="P52" s="45">
        <f t="shared" si="20"/>
        <v>16812.5625</v>
      </c>
      <c r="Q52" s="45">
        <f t="shared" si="21"/>
        <v>19174.5225</v>
      </c>
      <c r="R52" s="45">
        <f t="shared" si="22"/>
        <v>22897.89</v>
      </c>
    </row>
    <row r="53" spans="1:18" s="49" customFormat="1" ht="12.75">
      <c r="A53" s="45">
        <v>2800</v>
      </c>
      <c r="B53" s="46">
        <v>2.37</v>
      </c>
      <c r="C53" s="46">
        <v>2.78</v>
      </c>
      <c r="D53" s="46">
        <v>3.2</v>
      </c>
      <c r="E53" s="46">
        <v>3.61</v>
      </c>
      <c r="F53" s="46">
        <v>4.02</v>
      </c>
      <c r="G53" s="48">
        <f t="shared" si="23"/>
        <v>50</v>
      </c>
      <c r="H53" s="45">
        <f t="shared" si="12"/>
        <v>1114.848</v>
      </c>
      <c r="I53" s="45">
        <f t="shared" si="13"/>
        <v>2860.6199999999994</v>
      </c>
      <c r="J53" s="45">
        <f t="shared" si="14"/>
        <v>5362.56</v>
      </c>
      <c r="K53" s="45">
        <f t="shared" si="15"/>
        <v>6115.2</v>
      </c>
      <c r="L53" s="45">
        <f t="shared" si="16"/>
        <v>7778.106</v>
      </c>
      <c r="M53" s="45">
        <f t="shared" si="17"/>
        <v>8612.016</v>
      </c>
      <c r="N53" s="45">
        <f t="shared" si="18"/>
        <v>10340.483999999999</v>
      </c>
      <c r="O53" s="45">
        <f t="shared" si="19"/>
        <v>14283.863999999996</v>
      </c>
      <c r="P53" s="45">
        <f t="shared" si="20"/>
        <v>17306.1</v>
      </c>
      <c r="Q53" s="45">
        <f t="shared" si="21"/>
        <v>19737.395999999997</v>
      </c>
      <c r="R53" s="45">
        <f t="shared" si="22"/>
        <v>23570.063999999995</v>
      </c>
    </row>
    <row r="54" spans="1:18" s="49" customFormat="1" ht="12.75">
      <c r="A54" s="45">
        <v>2900</v>
      </c>
      <c r="B54" s="46">
        <v>2.35</v>
      </c>
      <c r="C54" s="46">
        <v>2.76</v>
      </c>
      <c r="D54" s="46">
        <v>3.17</v>
      </c>
      <c r="E54" s="46">
        <v>3.58</v>
      </c>
      <c r="F54" s="46">
        <v>3.98</v>
      </c>
      <c r="G54" s="48">
        <f t="shared" si="23"/>
        <v>51</v>
      </c>
      <c r="H54" s="45">
        <f t="shared" si="12"/>
        <v>1144.92</v>
      </c>
      <c r="I54" s="45">
        <f t="shared" si="13"/>
        <v>2941.4699999999993</v>
      </c>
      <c r="J54" s="45">
        <f t="shared" si="14"/>
        <v>5502.010499999999</v>
      </c>
      <c r="K54" s="45">
        <f t="shared" si="15"/>
        <v>6274.2225</v>
      </c>
      <c r="L54" s="45">
        <f t="shared" si="16"/>
        <v>7988.9490000000005</v>
      </c>
      <c r="M54" s="45">
        <f t="shared" si="17"/>
        <v>8845.464</v>
      </c>
      <c r="N54" s="45">
        <f t="shared" si="18"/>
        <v>10620.785999999998</v>
      </c>
      <c r="O54" s="45">
        <f t="shared" si="19"/>
        <v>14646.798</v>
      </c>
      <c r="P54" s="45">
        <f t="shared" si="20"/>
        <v>17745.825</v>
      </c>
      <c r="Q54" s="45">
        <f t="shared" si="21"/>
        <v>20238.897</v>
      </c>
      <c r="R54" s="45">
        <f t="shared" si="22"/>
        <v>24168.947999999997</v>
      </c>
    </row>
    <row r="55" spans="1:18" ht="12.75">
      <c r="A55" s="50">
        <v>3000</v>
      </c>
      <c r="B55" s="51">
        <v>2.33</v>
      </c>
      <c r="C55" s="51">
        <v>2.74</v>
      </c>
      <c r="D55" s="51">
        <v>3.14</v>
      </c>
      <c r="E55" s="51">
        <v>3.55</v>
      </c>
      <c r="F55" s="51">
        <v>3.95</v>
      </c>
      <c r="G55" s="48">
        <f t="shared" si="23"/>
        <v>52</v>
      </c>
      <c r="H55" s="45">
        <f t="shared" si="12"/>
        <v>1174.32</v>
      </c>
      <c r="I55" s="45">
        <f t="shared" si="13"/>
        <v>3020.85</v>
      </c>
      <c r="J55" s="45">
        <f t="shared" si="14"/>
        <v>5637.87</v>
      </c>
      <c r="K55" s="45">
        <f t="shared" si="15"/>
        <v>6429.15</v>
      </c>
      <c r="L55" s="45">
        <f t="shared" si="16"/>
        <v>8195.175</v>
      </c>
      <c r="M55" s="45">
        <f t="shared" si="17"/>
        <v>9073.8</v>
      </c>
      <c r="N55" s="45">
        <f t="shared" si="18"/>
        <v>10894.95</v>
      </c>
      <c r="O55" s="45">
        <f t="shared" si="19"/>
        <v>15037.65</v>
      </c>
      <c r="P55" s="45">
        <f t="shared" si="20"/>
        <v>18219.375</v>
      </c>
      <c r="Q55" s="45">
        <f t="shared" si="21"/>
        <v>20778.975</v>
      </c>
      <c r="R55" s="45">
        <f t="shared" si="22"/>
        <v>24813.9</v>
      </c>
    </row>
    <row r="56" spans="1:18" ht="12.75">
      <c r="A56" s="50">
        <v>3100</v>
      </c>
      <c r="B56" s="51">
        <v>2.32</v>
      </c>
      <c r="C56" s="51">
        <v>2.72</v>
      </c>
      <c r="D56" s="51">
        <v>3.12</v>
      </c>
      <c r="E56" s="51">
        <v>3.52</v>
      </c>
      <c r="F56" s="51">
        <v>3.91</v>
      </c>
      <c r="G56" s="48">
        <f t="shared" si="23"/>
        <v>53</v>
      </c>
      <c r="H56" s="45">
        <f t="shared" si="12"/>
        <v>1208.2559999999999</v>
      </c>
      <c r="I56" s="45">
        <f t="shared" si="13"/>
        <v>3098.76</v>
      </c>
      <c r="J56" s="45">
        <f t="shared" si="14"/>
        <v>5788.691999999999</v>
      </c>
      <c r="K56" s="45">
        <f t="shared" si="15"/>
        <v>6601.14</v>
      </c>
      <c r="L56" s="45">
        <f t="shared" si="16"/>
        <v>8396.784</v>
      </c>
      <c r="M56" s="45">
        <f t="shared" si="17"/>
        <v>9297.024</v>
      </c>
      <c r="N56" s="45">
        <f t="shared" si="18"/>
        <v>11162.975999999999</v>
      </c>
      <c r="O56" s="45">
        <f t="shared" si="19"/>
        <v>15381.548999999999</v>
      </c>
      <c r="P56" s="45">
        <f t="shared" si="20"/>
        <v>18636.0375</v>
      </c>
      <c r="Q56" s="45">
        <f t="shared" si="21"/>
        <v>21254.1735</v>
      </c>
      <c r="R56" s="45">
        <f t="shared" si="22"/>
        <v>25381.374</v>
      </c>
    </row>
    <row r="57" spans="1:18" ht="12.75">
      <c r="A57" s="50">
        <v>3200</v>
      </c>
      <c r="B57" s="51">
        <v>2.3</v>
      </c>
      <c r="C57" s="51">
        <v>2.7</v>
      </c>
      <c r="D57" s="51">
        <v>3.09</v>
      </c>
      <c r="E57" s="51">
        <v>3.49</v>
      </c>
      <c r="F57" s="51">
        <v>3.88</v>
      </c>
      <c r="G57" s="48">
        <f t="shared" si="23"/>
        <v>54</v>
      </c>
      <c r="H57" s="45">
        <f t="shared" si="12"/>
        <v>1236.4799999999998</v>
      </c>
      <c r="I57" s="45">
        <f t="shared" si="13"/>
        <v>3175.2</v>
      </c>
      <c r="J57" s="45">
        <f t="shared" si="14"/>
        <v>5917.967999999999</v>
      </c>
      <c r="K57" s="45">
        <f t="shared" si="15"/>
        <v>6748.56</v>
      </c>
      <c r="L57" s="45">
        <f t="shared" si="16"/>
        <v>8593.776</v>
      </c>
      <c r="M57" s="45">
        <f t="shared" si="17"/>
        <v>9515.136</v>
      </c>
      <c r="N57" s="45">
        <f t="shared" si="18"/>
        <v>11424.864</v>
      </c>
      <c r="O57" s="45">
        <f t="shared" si="19"/>
        <v>15755.903999999999</v>
      </c>
      <c r="P57" s="45">
        <f t="shared" si="20"/>
        <v>19089.6</v>
      </c>
      <c r="Q57" s="45">
        <f t="shared" si="21"/>
        <v>21771.456000000002</v>
      </c>
      <c r="R57" s="45">
        <f t="shared" si="22"/>
        <v>25999.104</v>
      </c>
    </row>
    <row r="58" spans="1:18" ht="12.75">
      <c r="A58" s="50">
        <v>3300</v>
      </c>
      <c r="B58" s="51">
        <v>2.28</v>
      </c>
      <c r="C58" s="51">
        <v>2.68</v>
      </c>
      <c r="D58" s="51">
        <v>3.07</v>
      </c>
      <c r="E58" s="51">
        <v>3.46</v>
      </c>
      <c r="F58" s="51">
        <v>3.84</v>
      </c>
      <c r="G58" s="48">
        <f t="shared" si="23"/>
        <v>55</v>
      </c>
      <c r="H58" s="45">
        <f t="shared" si="12"/>
        <v>1264.032</v>
      </c>
      <c r="I58" s="45">
        <f t="shared" si="13"/>
        <v>3250.17</v>
      </c>
      <c r="J58" s="45">
        <f t="shared" si="14"/>
        <v>6063.403499999999</v>
      </c>
      <c r="K58" s="45">
        <f t="shared" si="15"/>
        <v>6914.4075</v>
      </c>
      <c r="L58" s="45">
        <f t="shared" si="16"/>
        <v>8786.151</v>
      </c>
      <c r="M58" s="45">
        <f t="shared" si="17"/>
        <v>9728.136</v>
      </c>
      <c r="N58" s="45">
        <f t="shared" si="18"/>
        <v>11680.614</v>
      </c>
      <c r="O58" s="45">
        <f t="shared" si="19"/>
        <v>16080.768</v>
      </c>
      <c r="P58" s="45">
        <f t="shared" si="20"/>
        <v>19483.2</v>
      </c>
      <c r="Q58" s="45">
        <f t="shared" si="21"/>
        <v>22220.352</v>
      </c>
      <c r="R58" s="45">
        <f t="shared" si="22"/>
        <v>26535.167999999998</v>
      </c>
    </row>
    <row r="59" spans="1:18" ht="12.75">
      <c r="A59" s="50">
        <v>3400</v>
      </c>
      <c r="B59" s="51">
        <v>2.26</v>
      </c>
      <c r="C59" s="51">
        <v>2.66</v>
      </c>
      <c r="D59" s="51">
        <v>3.04</v>
      </c>
      <c r="E59" s="51">
        <v>3.43</v>
      </c>
      <c r="F59" s="51">
        <v>3.81</v>
      </c>
      <c r="G59" s="48">
        <f t="shared" si="23"/>
        <v>56</v>
      </c>
      <c r="H59" s="45">
        <f t="shared" si="12"/>
        <v>1290.9119999999998</v>
      </c>
      <c r="I59" s="45">
        <f t="shared" si="13"/>
        <v>3323.67</v>
      </c>
      <c r="J59" s="45">
        <f t="shared" si="14"/>
        <v>6186.096</v>
      </c>
      <c r="K59" s="45">
        <f t="shared" si="15"/>
        <v>7054.32</v>
      </c>
      <c r="L59" s="45">
        <f t="shared" si="16"/>
        <v>8973.909</v>
      </c>
      <c r="M59" s="45">
        <f t="shared" si="17"/>
        <v>9936.024</v>
      </c>
      <c r="N59" s="45">
        <f t="shared" si="18"/>
        <v>11930.225999999999</v>
      </c>
      <c r="O59" s="45">
        <f t="shared" si="19"/>
        <v>16438.626</v>
      </c>
      <c r="P59" s="45">
        <f t="shared" si="20"/>
        <v>19916.775</v>
      </c>
      <c r="Q59" s="45">
        <f t="shared" si="21"/>
        <v>22714.839</v>
      </c>
      <c r="R59" s="45">
        <f t="shared" si="22"/>
        <v>27125.676</v>
      </c>
    </row>
    <row r="60" spans="1:18" ht="12.75">
      <c r="A60" s="50">
        <v>3500</v>
      </c>
      <c r="B60" s="51">
        <v>2.25</v>
      </c>
      <c r="C60" s="51">
        <v>2.63</v>
      </c>
      <c r="D60" s="51">
        <v>3.01</v>
      </c>
      <c r="E60" s="51">
        <v>3.4</v>
      </c>
      <c r="F60" s="51">
        <v>3.77</v>
      </c>
      <c r="G60" s="48">
        <f t="shared" si="23"/>
        <v>57</v>
      </c>
      <c r="H60" s="45">
        <f t="shared" si="12"/>
        <v>1323</v>
      </c>
      <c r="I60" s="45">
        <f t="shared" si="13"/>
        <v>3382.8375</v>
      </c>
      <c r="J60" s="45">
        <f t="shared" si="14"/>
        <v>6305.1975</v>
      </c>
      <c r="K60" s="45">
        <f t="shared" si="15"/>
        <v>7190.1375</v>
      </c>
      <c r="L60" s="45">
        <f t="shared" si="16"/>
        <v>9157.05</v>
      </c>
      <c r="M60" s="45">
        <f t="shared" si="17"/>
        <v>10138.8</v>
      </c>
      <c r="N60" s="45">
        <f t="shared" si="18"/>
        <v>12173.7</v>
      </c>
      <c r="O60" s="45">
        <f t="shared" si="19"/>
        <v>16744.455</v>
      </c>
      <c r="P60" s="45">
        <f t="shared" si="20"/>
        <v>20287.3125</v>
      </c>
      <c r="Q60" s="45">
        <f t="shared" si="21"/>
        <v>23137.4325</v>
      </c>
      <c r="R60" s="45">
        <f t="shared" si="22"/>
        <v>27630.33</v>
      </c>
    </row>
    <row r="61" spans="1:18" ht="12.75">
      <c r="A61" s="50">
        <v>3600</v>
      </c>
      <c r="B61" s="51">
        <v>2.23</v>
      </c>
      <c r="C61" s="51">
        <v>2.61</v>
      </c>
      <c r="D61" s="51">
        <v>2.99</v>
      </c>
      <c r="E61" s="51">
        <v>3.37</v>
      </c>
      <c r="F61" s="51">
        <v>3.74</v>
      </c>
      <c r="G61" s="48">
        <f t="shared" si="23"/>
        <v>58</v>
      </c>
      <c r="H61" s="45">
        <f t="shared" si="12"/>
        <v>1348.704</v>
      </c>
      <c r="I61" s="45">
        <f t="shared" si="13"/>
        <v>3453.03</v>
      </c>
      <c r="J61" s="45">
        <f t="shared" si="14"/>
        <v>6442.254</v>
      </c>
      <c r="K61" s="45">
        <f t="shared" si="15"/>
        <v>7346.43</v>
      </c>
      <c r="L61" s="45">
        <f t="shared" si="16"/>
        <v>9335.574</v>
      </c>
      <c r="M61" s="45">
        <f t="shared" si="17"/>
        <v>10336.464</v>
      </c>
      <c r="N61" s="45">
        <f t="shared" si="18"/>
        <v>12411.035999999998</v>
      </c>
      <c r="O61" s="45">
        <f t="shared" si="19"/>
        <v>17085.816</v>
      </c>
      <c r="P61" s="45">
        <f t="shared" si="20"/>
        <v>20700.9</v>
      </c>
      <c r="Q61" s="45">
        <f t="shared" si="21"/>
        <v>23609.124</v>
      </c>
      <c r="R61" s="45">
        <f t="shared" si="22"/>
        <v>28193.616</v>
      </c>
    </row>
    <row r="62" spans="1:18" ht="12.75">
      <c r="A62" s="50">
        <v>3700</v>
      </c>
      <c r="B62" s="51">
        <v>2.21</v>
      </c>
      <c r="C62" s="51">
        <v>2.59</v>
      </c>
      <c r="D62" s="51">
        <v>2.96</v>
      </c>
      <c r="E62" s="51">
        <v>3.34</v>
      </c>
      <c r="F62" s="51">
        <v>3.7</v>
      </c>
      <c r="G62" s="48">
        <f t="shared" si="23"/>
        <v>59</v>
      </c>
      <c r="H62" s="45">
        <f t="shared" si="12"/>
        <v>1373.736</v>
      </c>
      <c r="I62" s="45">
        <f t="shared" si="13"/>
        <v>3521.7525</v>
      </c>
      <c r="J62" s="45">
        <f t="shared" si="14"/>
        <v>6554.772</v>
      </c>
      <c r="K62" s="45">
        <f t="shared" si="15"/>
        <v>7474.74</v>
      </c>
      <c r="L62" s="45">
        <f t="shared" si="16"/>
        <v>9509.481</v>
      </c>
      <c r="M62" s="45">
        <f t="shared" si="17"/>
        <v>10529.015999999998</v>
      </c>
      <c r="N62" s="45">
        <f t="shared" si="18"/>
        <v>12642.233999999999</v>
      </c>
      <c r="O62" s="45">
        <f t="shared" si="19"/>
        <v>17372.61</v>
      </c>
      <c r="P62" s="45">
        <f t="shared" si="20"/>
        <v>21048.375</v>
      </c>
      <c r="Q62" s="45">
        <f t="shared" si="21"/>
        <v>24005.415</v>
      </c>
      <c r="R62" s="45">
        <f t="shared" si="22"/>
        <v>28666.86</v>
      </c>
    </row>
    <row r="63" spans="1:18" ht="12.75">
      <c r="A63" s="50">
        <v>3800</v>
      </c>
      <c r="B63" s="51">
        <v>2.2</v>
      </c>
      <c r="C63" s="51">
        <v>2.57</v>
      </c>
      <c r="D63" s="51">
        <v>2.94</v>
      </c>
      <c r="E63" s="51">
        <v>3.3</v>
      </c>
      <c r="F63" s="51">
        <v>3.67</v>
      </c>
      <c r="G63" s="48">
        <f t="shared" si="23"/>
        <v>60</v>
      </c>
      <c r="H63" s="45">
        <f t="shared" si="12"/>
        <v>1404.48</v>
      </c>
      <c r="I63" s="45">
        <f t="shared" si="13"/>
        <v>3589.005</v>
      </c>
      <c r="J63" s="45">
        <f t="shared" si="14"/>
        <v>6686.441999999999</v>
      </c>
      <c r="K63" s="45">
        <f t="shared" si="15"/>
        <v>7624.89</v>
      </c>
      <c r="L63" s="45">
        <f t="shared" si="16"/>
        <v>9649.53</v>
      </c>
      <c r="M63" s="45">
        <f t="shared" si="17"/>
        <v>10684.08</v>
      </c>
      <c r="N63" s="45">
        <f t="shared" si="18"/>
        <v>12828.42</v>
      </c>
      <c r="O63" s="45">
        <f t="shared" si="19"/>
        <v>17697.474</v>
      </c>
      <c r="P63" s="45">
        <f t="shared" si="20"/>
        <v>21441.975</v>
      </c>
      <c r="Q63" s="45">
        <f t="shared" si="21"/>
        <v>24454.311</v>
      </c>
      <c r="R63" s="45">
        <f t="shared" si="22"/>
        <v>29202.924</v>
      </c>
    </row>
    <row r="64" spans="1:18" ht="12.75">
      <c r="A64" s="50">
        <v>3900</v>
      </c>
      <c r="B64" s="51">
        <v>2.18</v>
      </c>
      <c r="C64" s="51">
        <v>2.55</v>
      </c>
      <c r="D64" s="51">
        <v>2.91</v>
      </c>
      <c r="E64" s="51">
        <v>3.27</v>
      </c>
      <c r="F64" s="51">
        <v>3.63</v>
      </c>
      <c r="G64" s="48">
        <f t="shared" si="23"/>
        <v>61</v>
      </c>
      <c r="H64" s="45">
        <f t="shared" si="12"/>
        <v>1428.336</v>
      </c>
      <c r="I64" s="45">
        <f t="shared" si="13"/>
        <v>3654.7875</v>
      </c>
      <c r="J64" s="45">
        <f t="shared" si="14"/>
        <v>6792.3765</v>
      </c>
      <c r="K64" s="45">
        <f t="shared" si="15"/>
        <v>7745.6925</v>
      </c>
      <c r="L64" s="45">
        <f t="shared" si="16"/>
        <v>9813.4335</v>
      </c>
      <c r="M64" s="45">
        <f t="shared" si="17"/>
        <v>10865.555999999999</v>
      </c>
      <c r="N64" s="45">
        <f t="shared" si="18"/>
        <v>13046.319</v>
      </c>
      <c r="O64" s="45">
        <f t="shared" si="19"/>
        <v>17965.233</v>
      </c>
      <c r="P64" s="45">
        <f t="shared" si="20"/>
        <v>21766.3875</v>
      </c>
      <c r="Q64" s="45">
        <f t="shared" si="21"/>
        <v>24824.299499999997</v>
      </c>
      <c r="R64" s="45">
        <f t="shared" si="22"/>
        <v>29644.757999999998</v>
      </c>
    </row>
    <row r="65" spans="1:18" ht="12.75">
      <c r="A65" s="50">
        <v>4000</v>
      </c>
      <c r="B65" s="51">
        <v>2.16</v>
      </c>
      <c r="C65" s="51">
        <v>2.53</v>
      </c>
      <c r="D65" s="51">
        <v>2.88</v>
      </c>
      <c r="E65" s="51">
        <v>3.24</v>
      </c>
      <c r="F65" s="51">
        <v>3.6</v>
      </c>
      <c r="G65" s="48">
        <f t="shared" si="23"/>
        <v>62</v>
      </c>
      <c r="H65" s="45">
        <f t="shared" si="12"/>
        <v>1451.52</v>
      </c>
      <c r="I65" s="45">
        <f t="shared" si="13"/>
        <v>3719.1</v>
      </c>
      <c r="J65" s="45">
        <f t="shared" si="14"/>
        <v>6894.72</v>
      </c>
      <c r="K65" s="45">
        <f t="shared" si="15"/>
        <v>7862.4</v>
      </c>
      <c r="L65" s="45">
        <f t="shared" si="16"/>
        <v>9972.72</v>
      </c>
      <c r="M65" s="45">
        <f t="shared" si="17"/>
        <v>11041.92</v>
      </c>
      <c r="N65" s="45">
        <f t="shared" si="18"/>
        <v>13258.08</v>
      </c>
      <c r="O65" s="45">
        <f t="shared" si="19"/>
        <v>18273.6</v>
      </c>
      <c r="P65" s="45">
        <f t="shared" si="20"/>
        <v>22140</v>
      </c>
      <c r="Q65" s="45">
        <f t="shared" si="21"/>
        <v>25250.4</v>
      </c>
      <c r="R65" s="45">
        <f t="shared" si="22"/>
        <v>30153.6</v>
      </c>
    </row>
    <row r="66" spans="1:18" ht="12.75">
      <c r="A66" s="50">
        <v>4100</v>
      </c>
      <c r="B66" s="51">
        <v>2.15</v>
      </c>
      <c r="C66" s="51">
        <v>2.51</v>
      </c>
      <c r="D66" s="51">
        <v>2.86</v>
      </c>
      <c r="E66" s="51">
        <v>3.21</v>
      </c>
      <c r="F66" s="51">
        <v>3.56</v>
      </c>
      <c r="G66" s="48">
        <f t="shared" si="23"/>
        <v>63</v>
      </c>
      <c r="H66" s="45">
        <f t="shared" si="12"/>
        <v>1480.92</v>
      </c>
      <c r="I66" s="45">
        <f t="shared" si="13"/>
        <v>3781.9425</v>
      </c>
      <c r="J66" s="45">
        <f t="shared" si="14"/>
        <v>7018.0109999999995</v>
      </c>
      <c r="K66" s="45">
        <f t="shared" si="15"/>
        <v>8002.995</v>
      </c>
      <c r="L66" s="45">
        <f t="shared" si="16"/>
        <v>10127.3895</v>
      </c>
      <c r="M66" s="45">
        <f t="shared" si="17"/>
        <v>11213.171999999999</v>
      </c>
      <c r="N66" s="45">
        <f t="shared" si="18"/>
        <v>13463.703000000001</v>
      </c>
      <c r="O66" s="45">
        <f t="shared" si="19"/>
        <v>18522.324</v>
      </c>
      <c r="P66" s="45">
        <f t="shared" si="20"/>
        <v>22441.35</v>
      </c>
      <c r="Q66" s="45">
        <f t="shared" si="21"/>
        <v>25594.086</v>
      </c>
      <c r="R66" s="45">
        <f t="shared" si="22"/>
        <v>30564.023999999998</v>
      </c>
    </row>
    <row r="67" spans="1:18" ht="12.75">
      <c r="A67" s="50">
        <v>4200</v>
      </c>
      <c r="B67" s="51">
        <v>2.13</v>
      </c>
      <c r="C67" s="51">
        <v>2.48</v>
      </c>
      <c r="D67" s="51">
        <v>2.83</v>
      </c>
      <c r="E67" s="51">
        <v>3.18</v>
      </c>
      <c r="F67" s="51">
        <v>3.53</v>
      </c>
      <c r="G67" s="48">
        <f t="shared" si="23"/>
        <v>64</v>
      </c>
      <c r="H67" s="45">
        <f t="shared" si="12"/>
        <v>1502.9279999999999</v>
      </c>
      <c r="I67" s="45">
        <f t="shared" si="13"/>
        <v>3827.88</v>
      </c>
      <c r="J67" s="45">
        <f t="shared" si="14"/>
        <v>7113.771</v>
      </c>
      <c r="K67" s="45">
        <f t="shared" si="15"/>
        <v>8112.195</v>
      </c>
      <c r="L67" s="45">
        <f t="shared" si="16"/>
        <v>10277.442</v>
      </c>
      <c r="M67" s="45">
        <f t="shared" si="17"/>
        <v>11379.312</v>
      </c>
      <c r="N67" s="45">
        <f t="shared" si="18"/>
        <v>13663.188</v>
      </c>
      <c r="O67" s="45">
        <f t="shared" si="19"/>
        <v>18814.194</v>
      </c>
      <c r="P67" s="45">
        <f t="shared" si="20"/>
        <v>22794.975</v>
      </c>
      <c r="Q67" s="45">
        <f t="shared" si="21"/>
        <v>25997.391</v>
      </c>
      <c r="R67" s="45">
        <f t="shared" si="22"/>
        <v>31045.644</v>
      </c>
    </row>
    <row r="68" spans="1:18" ht="12.75">
      <c r="A68" s="50">
        <v>4300</v>
      </c>
      <c r="B68" s="51">
        <v>2.12</v>
      </c>
      <c r="C68" s="51">
        <v>2.46</v>
      </c>
      <c r="D68" s="51">
        <v>2.81</v>
      </c>
      <c r="E68" s="51">
        <v>3.15</v>
      </c>
      <c r="F68" s="51">
        <v>3.49</v>
      </c>
      <c r="G68" s="48">
        <f t="shared" si="23"/>
        <v>65</v>
      </c>
      <c r="H68" s="45">
        <f t="shared" si="12"/>
        <v>1531.4879999999998</v>
      </c>
      <c r="I68" s="45">
        <f t="shared" si="13"/>
        <v>3887.415</v>
      </c>
      <c r="J68" s="45">
        <f t="shared" si="14"/>
        <v>7231.675499999999</v>
      </c>
      <c r="K68" s="45">
        <f t="shared" si="15"/>
        <v>8246.6475</v>
      </c>
      <c r="L68" s="45">
        <f t="shared" si="16"/>
        <v>10422.8775</v>
      </c>
      <c r="M68" s="45">
        <f t="shared" si="17"/>
        <v>11540.34</v>
      </c>
      <c r="N68" s="45">
        <f t="shared" si="18"/>
        <v>13856.535</v>
      </c>
      <c r="O68" s="45">
        <f t="shared" si="19"/>
        <v>19043.883</v>
      </c>
      <c r="P68" s="45">
        <f t="shared" si="20"/>
        <v>23073.2625</v>
      </c>
      <c r="Q68" s="45">
        <f t="shared" si="21"/>
        <v>26314.774500000007</v>
      </c>
      <c r="R68" s="45">
        <f t="shared" si="22"/>
        <v>31424.658000000003</v>
      </c>
    </row>
    <row r="69" spans="1:18" ht="12.75">
      <c r="A69" s="50">
        <v>4400</v>
      </c>
      <c r="B69" s="51">
        <v>2.11</v>
      </c>
      <c r="C69" s="51">
        <v>2.44</v>
      </c>
      <c r="D69" s="51">
        <v>2.78</v>
      </c>
      <c r="E69" s="51">
        <v>3.13</v>
      </c>
      <c r="F69" s="51">
        <v>3.46</v>
      </c>
      <c r="G69" s="48">
        <f t="shared" si="23"/>
        <v>66</v>
      </c>
      <c r="H69" s="45">
        <f aca="true" t="shared" si="24" ref="H69:H100">$A69*$B69*H$2*$J$127*$J$128*$J$129*$J$130/100</f>
        <v>1559.7119999999998</v>
      </c>
      <c r="I69" s="45">
        <f aca="true" t="shared" si="25" ref="I69:I100">$A69*$C69*$I$2*$J$127*$J$128*$J$129*$J$130/100</f>
        <v>3945.48</v>
      </c>
      <c r="J69" s="45">
        <f aca="true" t="shared" si="26" ref="J69:J100">$A69*$D69*$J$2*$J$127*$J$128*$J$129*$J$130/100</f>
        <v>7320.852</v>
      </c>
      <c r="K69" s="45">
        <f aca="true" t="shared" si="27" ref="K69:K100">$A69*$D69*$K$2*$J$127*$J$128*$J$129*$J$130/100</f>
        <v>8348.34</v>
      </c>
      <c r="L69" s="45">
        <f aca="true" t="shared" si="28" ref="L69:L100">$A69*$E69*$L$2*$J$127*$J$128*$J$129*$J$130/100</f>
        <v>10597.553999999998</v>
      </c>
      <c r="M69" s="45">
        <f aca="true" t="shared" si="29" ref="M69:M100">$A69*$E69*$M$2*$J$127*$J$128*$J$129*$J$130/100</f>
        <v>11733.743999999999</v>
      </c>
      <c r="N69" s="45">
        <f aca="true" t="shared" si="30" ref="N69:N100">$A69*$E69*$N$2*$J$127*$J$128*$J$129*$J$130/100</f>
        <v>14088.756</v>
      </c>
      <c r="O69" s="45">
        <f aca="true" t="shared" si="31" ref="O69:O100">$A69*$F69*$O$2*$J$127*$J$128*$J$129*$J$130/100</f>
        <v>19319.255999999998</v>
      </c>
      <c r="P69" s="45">
        <f aca="true" t="shared" si="32" ref="P69:P100">$A69*$F69*$P$2*$J$127*$J$128*$J$129*$J$130/100</f>
        <v>23406.9</v>
      </c>
      <c r="Q69" s="45">
        <f aca="true" t="shared" si="33" ref="Q69:Q100">$A69*$F69*$Q$2*$J$127*$J$128*$J$129*$J$130/100</f>
        <v>26695.284</v>
      </c>
      <c r="R69" s="45">
        <f aca="true" t="shared" si="34" ref="R69:R100">$A69*$F69*$R$2*$J$127*$J$128*$J$129*$J$130/100</f>
        <v>31879.056</v>
      </c>
    </row>
    <row r="70" spans="1:18" ht="12.75">
      <c r="A70" s="50">
        <v>4500</v>
      </c>
      <c r="B70" s="51">
        <v>2.09</v>
      </c>
      <c r="C70" s="51">
        <v>2.42</v>
      </c>
      <c r="D70" s="51">
        <v>2.75</v>
      </c>
      <c r="E70" s="51">
        <v>3.09</v>
      </c>
      <c r="F70" s="51">
        <v>3.42</v>
      </c>
      <c r="G70" s="48">
        <f aca="true" t="shared" si="35" ref="G70:G101">G69+1</f>
        <v>67</v>
      </c>
      <c r="H70" s="45">
        <f t="shared" si="24"/>
        <v>1580.04</v>
      </c>
      <c r="I70" s="45">
        <f t="shared" si="25"/>
        <v>4002.075</v>
      </c>
      <c r="J70" s="45">
        <f t="shared" si="26"/>
        <v>7406.4375</v>
      </c>
      <c r="K70" s="45">
        <f t="shared" si="27"/>
        <v>8445.9375</v>
      </c>
      <c r="L70" s="45">
        <f t="shared" si="28"/>
        <v>10699.8975</v>
      </c>
      <c r="M70" s="45">
        <f t="shared" si="29"/>
        <v>11847.06</v>
      </c>
      <c r="N70" s="45">
        <f t="shared" si="30"/>
        <v>14224.815</v>
      </c>
      <c r="O70" s="45">
        <f t="shared" si="31"/>
        <v>19529.91</v>
      </c>
      <c r="P70" s="45">
        <f t="shared" si="32"/>
        <v>23662.125</v>
      </c>
      <c r="Q70" s="45">
        <f t="shared" si="33"/>
        <v>26986.365</v>
      </c>
      <c r="R70" s="45">
        <f t="shared" si="34"/>
        <v>32226.66</v>
      </c>
    </row>
    <row r="71" spans="1:18" ht="12.75">
      <c r="A71" s="50">
        <v>4600</v>
      </c>
      <c r="B71" s="51">
        <v>2.07</v>
      </c>
      <c r="C71" s="51">
        <v>2.4</v>
      </c>
      <c r="D71" s="51">
        <v>2.73</v>
      </c>
      <c r="E71" s="51">
        <v>3.06</v>
      </c>
      <c r="F71" s="51">
        <v>3.39</v>
      </c>
      <c r="G71" s="48">
        <f t="shared" si="35"/>
        <v>68</v>
      </c>
      <c r="H71" s="45">
        <f t="shared" si="24"/>
        <v>1599.6960000000001</v>
      </c>
      <c r="I71" s="45">
        <f t="shared" si="25"/>
        <v>4057.2</v>
      </c>
      <c r="J71" s="45">
        <f t="shared" si="26"/>
        <v>7515.963</v>
      </c>
      <c r="K71" s="45">
        <f t="shared" si="27"/>
        <v>8570.835</v>
      </c>
      <c r="L71" s="45">
        <f t="shared" si="28"/>
        <v>10831.482</v>
      </c>
      <c r="M71" s="45">
        <f t="shared" si="29"/>
        <v>11992.752</v>
      </c>
      <c r="N71" s="45">
        <f t="shared" si="30"/>
        <v>14399.748</v>
      </c>
      <c r="O71" s="45">
        <f t="shared" si="31"/>
        <v>19788.786</v>
      </c>
      <c r="P71" s="45">
        <f t="shared" si="32"/>
        <v>23975.775</v>
      </c>
      <c r="Q71" s="45">
        <f t="shared" si="33"/>
        <v>27344.078999999998</v>
      </c>
      <c r="R71" s="45">
        <f t="shared" si="34"/>
        <v>32653.836</v>
      </c>
    </row>
    <row r="72" spans="1:18" ht="12.75">
      <c r="A72" s="50">
        <v>4700</v>
      </c>
      <c r="B72" s="51">
        <v>2.06</v>
      </c>
      <c r="C72" s="51">
        <v>2.38</v>
      </c>
      <c r="D72" s="51">
        <v>2.7</v>
      </c>
      <c r="E72" s="51">
        <v>3.03</v>
      </c>
      <c r="F72" s="51">
        <v>3.35</v>
      </c>
      <c r="G72" s="48">
        <f t="shared" si="35"/>
        <v>69</v>
      </c>
      <c r="H72" s="45">
        <f t="shared" si="24"/>
        <v>1626.576</v>
      </c>
      <c r="I72" s="45">
        <f t="shared" si="25"/>
        <v>4110.855</v>
      </c>
      <c r="J72" s="45">
        <f t="shared" si="26"/>
        <v>7594.965</v>
      </c>
      <c r="K72" s="45">
        <f t="shared" si="27"/>
        <v>8660.925</v>
      </c>
      <c r="L72" s="45">
        <f t="shared" si="28"/>
        <v>10958.449499999997</v>
      </c>
      <c r="M72" s="45">
        <f t="shared" si="29"/>
        <v>12133.331999999997</v>
      </c>
      <c r="N72" s="45">
        <f t="shared" si="30"/>
        <v>14568.542999999996</v>
      </c>
      <c r="O72" s="45">
        <f t="shared" si="31"/>
        <v>19980.405</v>
      </c>
      <c r="P72" s="45">
        <f t="shared" si="32"/>
        <v>24207.9375</v>
      </c>
      <c r="Q72" s="45">
        <f t="shared" si="33"/>
        <v>27608.8575</v>
      </c>
      <c r="R72" s="45">
        <f t="shared" si="34"/>
        <v>32970.03</v>
      </c>
    </row>
    <row r="73" spans="1:18" ht="12.75">
      <c r="A73" s="50">
        <v>4800</v>
      </c>
      <c r="B73" s="51">
        <v>2.04</v>
      </c>
      <c r="C73" s="51">
        <v>2.36</v>
      </c>
      <c r="D73" s="51">
        <v>2.68</v>
      </c>
      <c r="E73" s="51">
        <v>3</v>
      </c>
      <c r="F73" s="51">
        <v>3.32</v>
      </c>
      <c r="G73" s="48">
        <f t="shared" si="35"/>
        <v>70</v>
      </c>
      <c r="H73" s="45">
        <f t="shared" si="24"/>
        <v>1645.056</v>
      </c>
      <c r="I73" s="45">
        <f t="shared" si="25"/>
        <v>4163.04</v>
      </c>
      <c r="J73" s="45">
        <f t="shared" si="26"/>
        <v>7699.104</v>
      </c>
      <c r="K73" s="45">
        <f t="shared" si="27"/>
        <v>8779.68</v>
      </c>
      <c r="L73" s="45">
        <f t="shared" si="28"/>
        <v>11080.8</v>
      </c>
      <c r="M73" s="45">
        <f t="shared" si="29"/>
        <v>12268.8</v>
      </c>
      <c r="N73" s="45">
        <f t="shared" si="30"/>
        <v>14731.2</v>
      </c>
      <c r="O73" s="45">
        <f t="shared" si="31"/>
        <v>20222.784</v>
      </c>
      <c r="P73" s="45">
        <f t="shared" si="32"/>
        <v>24501.6</v>
      </c>
      <c r="Q73" s="45">
        <f t="shared" si="33"/>
        <v>27943.776</v>
      </c>
      <c r="R73" s="45">
        <f t="shared" si="34"/>
        <v>33369.984</v>
      </c>
    </row>
    <row r="74" spans="1:18" ht="12.75">
      <c r="A74" s="50">
        <v>4900</v>
      </c>
      <c r="B74" s="51">
        <v>2.02</v>
      </c>
      <c r="C74" s="51">
        <v>2.34</v>
      </c>
      <c r="D74" s="51">
        <v>2.65</v>
      </c>
      <c r="E74" s="51">
        <v>2.96</v>
      </c>
      <c r="F74" s="51">
        <v>3.28</v>
      </c>
      <c r="G74" s="48">
        <f t="shared" si="35"/>
        <v>71</v>
      </c>
      <c r="H74" s="45">
        <f t="shared" si="24"/>
        <v>1662.864</v>
      </c>
      <c r="I74" s="45">
        <f t="shared" si="25"/>
        <v>4213.755</v>
      </c>
      <c r="J74" s="45">
        <f t="shared" si="26"/>
        <v>7771.5225</v>
      </c>
      <c r="K74" s="45">
        <f t="shared" si="27"/>
        <v>8862.2625</v>
      </c>
      <c r="L74" s="45">
        <f t="shared" si="28"/>
        <v>11160.828000000001</v>
      </c>
      <c r="M74" s="45">
        <f t="shared" si="29"/>
        <v>12357.408000000001</v>
      </c>
      <c r="N74" s="45">
        <f t="shared" si="30"/>
        <v>14837.591999999999</v>
      </c>
      <c r="O74" s="45">
        <f t="shared" si="31"/>
        <v>20395.367999999995</v>
      </c>
      <c r="P74" s="45">
        <f t="shared" si="32"/>
        <v>24710.699999999997</v>
      </c>
      <c r="Q74" s="45">
        <f t="shared" si="33"/>
        <v>28182.251999999993</v>
      </c>
      <c r="R74" s="45">
        <f t="shared" si="34"/>
        <v>33654.768</v>
      </c>
    </row>
    <row r="75" spans="1:18" ht="12.75">
      <c r="A75" s="50">
        <v>5000</v>
      </c>
      <c r="B75" s="51">
        <v>2</v>
      </c>
      <c r="C75" s="51">
        <v>2.31</v>
      </c>
      <c r="D75" s="51">
        <v>2.62</v>
      </c>
      <c r="E75" s="51">
        <v>2.93</v>
      </c>
      <c r="F75" s="51">
        <v>3.24</v>
      </c>
      <c r="G75" s="48">
        <f t="shared" si="35"/>
        <v>72</v>
      </c>
      <c r="H75" s="45">
        <f t="shared" si="24"/>
        <v>1680</v>
      </c>
      <c r="I75" s="45">
        <f t="shared" si="25"/>
        <v>4244.625</v>
      </c>
      <c r="J75" s="45">
        <f t="shared" si="26"/>
        <v>7840.35</v>
      </c>
      <c r="K75" s="45">
        <f t="shared" si="27"/>
        <v>8940.75</v>
      </c>
      <c r="L75" s="45">
        <f t="shared" si="28"/>
        <v>11273.175</v>
      </c>
      <c r="M75" s="45">
        <f t="shared" si="29"/>
        <v>12481.8</v>
      </c>
      <c r="N75" s="45">
        <f t="shared" si="30"/>
        <v>14986.95</v>
      </c>
      <c r="O75" s="45">
        <f t="shared" si="31"/>
        <v>20557.800000000003</v>
      </c>
      <c r="P75" s="45">
        <f t="shared" si="32"/>
        <v>24907.5</v>
      </c>
      <c r="Q75" s="45">
        <f t="shared" si="33"/>
        <v>28406.700000000004</v>
      </c>
      <c r="R75" s="45">
        <f t="shared" si="34"/>
        <v>33922.8</v>
      </c>
    </row>
    <row r="76" spans="1:18" ht="12.75">
      <c r="A76" s="50">
        <v>5200</v>
      </c>
      <c r="B76" s="51">
        <v>1.98</v>
      </c>
      <c r="C76" s="51">
        <v>2.29</v>
      </c>
      <c r="D76" s="51">
        <v>2.59</v>
      </c>
      <c r="E76" s="51">
        <v>2.9</v>
      </c>
      <c r="F76" s="51">
        <v>3.2</v>
      </c>
      <c r="G76" s="48">
        <f t="shared" si="35"/>
        <v>73</v>
      </c>
      <c r="H76" s="45">
        <f t="shared" si="24"/>
        <v>1729.7279999999998</v>
      </c>
      <c r="I76" s="45">
        <f t="shared" si="25"/>
        <v>4376.19</v>
      </c>
      <c r="J76" s="45">
        <f t="shared" si="26"/>
        <v>8060.597999999999</v>
      </c>
      <c r="K76" s="45">
        <f t="shared" si="27"/>
        <v>9191.91</v>
      </c>
      <c r="L76" s="45">
        <f t="shared" si="28"/>
        <v>11604.06</v>
      </c>
      <c r="M76" s="45">
        <f t="shared" si="29"/>
        <v>12848.16</v>
      </c>
      <c r="N76" s="45">
        <f t="shared" si="30"/>
        <v>15426.84</v>
      </c>
      <c r="O76" s="45">
        <f t="shared" si="31"/>
        <v>21116.16</v>
      </c>
      <c r="P76" s="45">
        <f t="shared" si="32"/>
        <v>25584</v>
      </c>
      <c r="Q76" s="45">
        <f t="shared" si="33"/>
        <v>29178.24</v>
      </c>
      <c r="R76" s="45">
        <f t="shared" si="34"/>
        <v>34844.16</v>
      </c>
    </row>
    <row r="77" spans="1:18" ht="12.75">
      <c r="A77" s="50">
        <v>5400</v>
      </c>
      <c r="B77" s="51">
        <v>1.96</v>
      </c>
      <c r="C77" s="51">
        <v>2.27</v>
      </c>
      <c r="D77" s="51">
        <v>2.57</v>
      </c>
      <c r="E77" s="51">
        <v>2.87</v>
      </c>
      <c r="F77" s="51">
        <v>3.17</v>
      </c>
      <c r="G77" s="48">
        <f t="shared" si="35"/>
        <v>74</v>
      </c>
      <c r="H77" s="45">
        <f t="shared" si="24"/>
        <v>1778.1119999999999</v>
      </c>
      <c r="I77" s="45">
        <f t="shared" si="25"/>
        <v>4504.815</v>
      </c>
      <c r="J77" s="45">
        <f t="shared" si="26"/>
        <v>8305.983</v>
      </c>
      <c r="K77" s="45">
        <f t="shared" si="27"/>
        <v>9471.735</v>
      </c>
      <c r="L77" s="45">
        <f t="shared" si="28"/>
        <v>11925.711</v>
      </c>
      <c r="M77" s="45">
        <f t="shared" si="29"/>
        <v>13204.295999999998</v>
      </c>
      <c r="N77" s="45">
        <f t="shared" si="30"/>
        <v>15854.454</v>
      </c>
      <c r="O77" s="45">
        <f t="shared" si="31"/>
        <v>21722.742</v>
      </c>
      <c r="P77" s="45">
        <f t="shared" si="32"/>
        <v>26318.925</v>
      </c>
      <c r="Q77" s="45">
        <f t="shared" si="33"/>
        <v>30016.412999999997</v>
      </c>
      <c r="R77" s="45">
        <f t="shared" si="34"/>
        <v>35845.092</v>
      </c>
    </row>
    <row r="78" spans="1:18" ht="12.75">
      <c r="A78" s="50">
        <v>5600</v>
      </c>
      <c r="B78" s="51">
        <v>1.95</v>
      </c>
      <c r="C78" s="51">
        <v>2.25</v>
      </c>
      <c r="D78" s="51">
        <v>2.54</v>
      </c>
      <c r="E78" s="51">
        <v>2.84</v>
      </c>
      <c r="F78" s="51">
        <v>3.14</v>
      </c>
      <c r="G78" s="48">
        <f t="shared" si="35"/>
        <v>75</v>
      </c>
      <c r="H78" s="45">
        <f t="shared" si="24"/>
        <v>1834.56</v>
      </c>
      <c r="I78" s="45">
        <f t="shared" si="25"/>
        <v>4630.5</v>
      </c>
      <c r="J78" s="45">
        <f t="shared" si="26"/>
        <v>8513.064</v>
      </c>
      <c r="K78" s="45">
        <f t="shared" si="27"/>
        <v>9707.88</v>
      </c>
      <c r="L78" s="45">
        <f t="shared" si="28"/>
        <v>12238.128</v>
      </c>
      <c r="M78" s="45">
        <f t="shared" si="29"/>
        <v>13550.208</v>
      </c>
      <c r="N78" s="45">
        <f t="shared" si="30"/>
        <v>16269.792</v>
      </c>
      <c r="O78" s="45">
        <f t="shared" si="31"/>
        <v>22314.096</v>
      </c>
      <c r="P78" s="45">
        <f t="shared" si="32"/>
        <v>27035.4</v>
      </c>
      <c r="Q78" s="45">
        <f t="shared" si="33"/>
        <v>30833.543999999998</v>
      </c>
      <c r="R78" s="45">
        <f t="shared" si="34"/>
        <v>36820.896</v>
      </c>
    </row>
    <row r="79" spans="1:18" ht="12.75">
      <c r="A79" s="50">
        <v>5800</v>
      </c>
      <c r="B79" s="51">
        <v>1.93</v>
      </c>
      <c r="C79" s="51">
        <v>2.23</v>
      </c>
      <c r="D79" s="51">
        <v>2.52</v>
      </c>
      <c r="E79" s="51">
        <v>2.82</v>
      </c>
      <c r="F79" s="51">
        <v>3.11</v>
      </c>
      <c r="G79" s="48">
        <f t="shared" si="35"/>
        <v>76</v>
      </c>
      <c r="H79" s="45">
        <f t="shared" si="24"/>
        <v>1880.5919999999999</v>
      </c>
      <c r="I79" s="45">
        <f t="shared" si="25"/>
        <v>4753.245</v>
      </c>
      <c r="J79" s="45">
        <f t="shared" si="26"/>
        <v>8747.676</v>
      </c>
      <c r="K79" s="45">
        <f t="shared" si="27"/>
        <v>9975.42</v>
      </c>
      <c r="L79" s="45">
        <f t="shared" si="28"/>
        <v>12585.941999999997</v>
      </c>
      <c r="M79" s="45">
        <f t="shared" si="29"/>
        <v>13935.311999999998</v>
      </c>
      <c r="N79" s="45">
        <f t="shared" si="30"/>
        <v>16732.187999999995</v>
      </c>
      <c r="O79" s="45">
        <f t="shared" si="31"/>
        <v>22890.221999999998</v>
      </c>
      <c r="P79" s="45">
        <f t="shared" si="32"/>
        <v>27733.425</v>
      </c>
      <c r="Q79" s="45">
        <f t="shared" si="33"/>
        <v>31629.632999999998</v>
      </c>
      <c r="R79" s="45">
        <f t="shared" si="34"/>
        <v>37771.572</v>
      </c>
    </row>
    <row r="80" spans="1:18" ht="12.75">
      <c r="A80" s="50">
        <v>6000</v>
      </c>
      <c r="B80" s="51">
        <v>1.92</v>
      </c>
      <c r="C80" s="51">
        <v>2.21</v>
      </c>
      <c r="D80" s="51">
        <v>2.5</v>
      </c>
      <c r="E80" s="51">
        <v>2.79</v>
      </c>
      <c r="F80" s="51">
        <v>3.08</v>
      </c>
      <c r="G80" s="48">
        <f t="shared" si="35"/>
        <v>77</v>
      </c>
      <c r="H80" s="45">
        <f t="shared" si="24"/>
        <v>1935.36</v>
      </c>
      <c r="I80" s="45">
        <f t="shared" si="25"/>
        <v>4873.05</v>
      </c>
      <c r="J80" s="45">
        <f t="shared" si="26"/>
        <v>8977.5</v>
      </c>
      <c r="K80" s="45">
        <f t="shared" si="27"/>
        <v>10237.5</v>
      </c>
      <c r="L80" s="45">
        <f t="shared" si="28"/>
        <v>12881.43</v>
      </c>
      <c r="M80" s="45">
        <f t="shared" si="29"/>
        <v>14262.48</v>
      </c>
      <c r="N80" s="45">
        <f t="shared" si="30"/>
        <v>17125.02</v>
      </c>
      <c r="O80" s="45">
        <f t="shared" si="31"/>
        <v>23451.12</v>
      </c>
      <c r="P80" s="45">
        <f t="shared" si="32"/>
        <v>28413</v>
      </c>
      <c r="Q80" s="45">
        <f t="shared" si="33"/>
        <v>32404.68</v>
      </c>
      <c r="R80" s="45">
        <f t="shared" si="34"/>
        <v>38697.12</v>
      </c>
    </row>
    <row r="81" spans="1:18" ht="12.75">
      <c r="A81" s="50">
        <v>6500</v>
      </c>
      <c r="B81" s="51">
        <v>1.88</v>
      </c>
      <c r="C81" s="51">
        <v>2.16</v>
      </c>
      <c r="D81" s="51">
        <v>2.44</v>
      </c>
      <c r="E81" s="51">
        <v>2.72</v>
      </c>
      <c r="F81" s="51">
        <v>3</v>
      </c>
      <c r="G81" s="48">
        <f t="shared" si="35"/>
        <v>78</v>
      </c>
      <c r="H81" s="45">
        <f t="shared" si="24"/>
        <v>2052.96</v>
      </c>
      <c r="I81" s="45">
        <f t="shared" si="25"/>
        <v>5159.700000000001</v>
      </c>
      <c r="J81" s="45">
        <f t="shared" si="26"/>
        <v>9492.21</v>
      </c>
      <c r="K81" s="45">
        <f t="shared" si="27"/>
        <v>10824.45</v>
      </c>
      <c r="L81" s="45">
        <f t="shared" si="28"/>
        <v>13604.76</v>
      </c>
      <c r="M81" s="45">
        <f t="shared" si="29"/>
        <v>15063.36</v>
      </c>
      <c r="N81" s="45">
        <f t="shared" si="30"/>
        <v>18086.64</v>
      </c>
      <c r="O81" s="45">
        <f t="shared" si="31"/>
        <v>24745.5</v>
      </c>
      <c r="P81" s="45">
        <f t="shared" si="32"/>
        <v>29981.25</v>
      </c>
      <c r="Q81" s="45">
        <f t="shared" si="33"/>
        <v>34193.25</v>
      </c>
      <c r="R81" s="45">
        <f t="shared" si="34"/>
        <v>40833</v>
      </c>
    </row>
    <row r="82" spans="1:18" ht="12.75">
      <c r="A82" s="50">
        <v>7000</v>
      </c>
      <c r="B82" s="51">
        <v>1.84</v>
      </c>
      <c r="C82" s="51">
        <v>2.11</v>
      </c>
      <c r="D82" s="51">
        <v>2.38</v>
      </c>
      <c r="E82" s="51">
        <v>2.66</v>
      </c>
      <c r="F82" s="51">
        <v>2.92</v>
      </c>
      <c r="G82" s="48">
        <f t="shared" si="35"/>
        <v>79</v>
      </c>
      <c r="H82" s="45">
        <f t="shared" si="24"/>
        <v>2163.84</v>
      </c>
      <c r="I82" s="45">
        <f t="shared" si="25"/>
        <v>5427.975</v>
      </c>
      <c r="J82" s="45">
        <f t="shared" si="26"/>
        <v>9971.01</v>
      </c>
      <c r="K82" s="45">
        <f t="shared" si="27"/>
        <v>11370.45</v>
      </c>
      <c r="L82" s="45">
        <f t="shared" si="28"/>
        <v>14328.09</v>
      </c>
      <c r="M82" s="45">
        <f t="shared" si="29"/>
        <v>15864.24</v>
      </c>
      <c r="N82" s="45">
        <f t="shared" si="30"/>
        <v>19048.26</v>
      </c>
      <c r="O82" s="45">
        <f t="shared" si="31"/>
        <v>25938.36</v>
      </c>
      <c r="P82" s="45">
        <f t="shared" si="32"/>
        <v>31426.5</v>
      </c>
      <c r="Q82" s="45">
        <f t="shared" si="33"/>
        <v>35841.54</v>
      </c>
      <c r="R82" s="45">
        <f t="shared" si="34"/>
        <v>42801.36</v>
      </c>
    </row>
    <row r="83" spans="1:18" ht="12.75">
      <c r="A83" s="50">
        <v>7500</v>
      </c>
      <c r="B83" s="51">
        <v>1.8</v>
      </c>
      <c r="C83" s="51">
        <v>2.07</v>
      </c>
      <c r="D83" s="51">
        <v>2.32</v>
      </c>
      <c r="E83" s="51">
        <v>2.6</v>
      </c>
      <c r="F83" s="51">
        <v>2.84</v>
      </c>
      <c r="G83" s="48">
        <f t="shared" si="35"/>
        <v>80</v>
      </c>
      <c r="H83" s="45">
        <f t="shared" si="24"/>
        <v>2268</v>
      </c>
      <c r="I83" s="45">
        <f t="shared" si="25"/>
        <v>5705.437499999999</v>
      </c>
      <c r="J83" s="45">
        <f t="shared" si="26"/>
        <v>10413.9</v>
      </c>
      <c r="K83" s="45">
        <f t="shared" si="27"/>
        <v>11875.5</v>
      </c>
      <c r="L83" s="45">
        <f t="shared" si="28"/>
        <v>15005.25</v>
      </c>
      <c r="M83" s="45">
        <f t="shared" si="29"/>
        <v>16614</v>
      </c>
      <c r="N83" s="45">
        <f t="shared" si="30"/>
        <v>19948.5</v>
      </c>
      <c r="O83" s="45">
        <f t="shared" si="31"/>
        <v>27029.7</v>
      </c>
      <c r="P83" s="45">
        <f t="shared" si="32"/>
        <v>32748.75</v>
      </c>
      <c r="Q83" s="45">
        <f t="shared" si="33"/>
        <v>37349.55</v>
      </c>
      <c r="R83" s="45">
        <f t="shared" si="34"/>
        <v>44602.2</v>
      </c>
    </row>
    <row r="84" spans="1:18" ht="12.75">
      <c r="A84" s="50">
        <v>8000</v>
      </c>
      <c r="B84" s="51">
        <v>1.77</v>
      </c>
      <c r="C84" s="51">
        <v>2.03</v>
      </c>
      <c r="D84" s="51">
        <v>2.28</v>
      </c>
      <c r="E84" s="51">
        <v>2.54</v>
      </c>
      <c r="F84" s="51">
        <v>2.79</v>
      </c>
      <c r="G84" s="48">
        <f t="shared" si="35"/>
        <v>81</v>
      </c>
      <c r="H84" s="45">
        <f t="shared" si="24"/>
        <v>2378.88</v>
      </c>
      <c r="I84" s="45">
        <f t="shared" si="25"/>
        <v>5968.199999999999</v>
      </c>
      <c r="J84" s="45">
        <f t="shared" si="26"/>
        <v>10916.64</v>
      </c>
      <c r="K84" s="45">
        <f t="shared" si="27"/>
        <v>12448.8</v>
      </c>
      <c r="L84" s="45">
        <f t="shared" si="28"/>
        <v>15636.24</v>
      </c>
      <c r="M84" s="45">
        <f t="shared" si="29"/>
        <v>17312.64</v>
      </c>
      <c r="N84" s="45">
        <f t="shared" si="30"/>
        <v>20787.36</v>
      </c>
      <c r="O84" s="45">
        <f t="shared" si="31"/>
        <v>28324.08</v>
      </c>
      <c r="P84" s="45">
        <f t="shared" si="32"/>
        <v>34317</v>
      </c>
      <c r="Q84" s="45">
        <f t="shared" si="33"/>
        <v>39138.12</v>
      </c>
      <c r="R84" s="45">
        <f t="shared" si="34"/>
        <v>46738.08</v>
      </c>
    </row>
    <row r="85" spans="1:18" ht="12.75">
      <c r="A85" s="50">
        <v>8500</v>
      </c>
      <c r="B85" s="51">
        <v>1.75</v>
      </c>
      <c r="C85" s="51">
        <v>2</v>
      </c>
      <c r="D85" s="51">
        <v>2.25</v>
      </c>
      <c r="E85" s="51">
        <v>2.5</v>
      </c>
      <c r="F85" s="51">
        <v>2.74</v>
      </c>
      <c r="G85" s="48">
        <f t="shared" si="35"/>
        <v>82</v>
      </c>
      <c r="H85" s="45">
        <f t="shared" si="24"/>
        <v>2499</v>
      </c>
      <c r="I85" s="45">
        <f t="shared" si="25"/>
        <v>6247.5</v>
      </c>
      <c r="J85" s="45">
        <f t="shared" si="26"/>
        <v>11446.3125</v>
      </c>
      <c r="K85" s="45">
        <f t="shared" si="27"/>
        <v>13052.8125</v>
      </c>
      <c r="L85" s="45">
        <f t="shared" si="28"/>
        <v>16351.875</v>
      </c>
      <c r="M85" s="45">
        <f t="shared" si="29"/>
        <v>18105</v>
      </c>
      <c r="N85" s="45">
        <f t="shared" si="30"/>
        <v>21738.75</v>
      </c>
      <c r="O85" s="45">
        <f t="shared" si="31"/>
        <v>29555.01</v>
      </c>
      <c r="P85" s="45">
        <f t="shared" si="32"/>
        <v>35808.375</v>
      </c>
      <c r="Q85" s="45">
        <f t="shared" si="33"/>
        <v>40839.015</v>
      </c>
      <c r="R85" s="45">
        <f t="shared" si="34"/>
        <v>48769.26</v>
      </c>
    </row>
    <row r="86" spans="1:18" ht="12.75">
      <c r="A86" s="50">
        <v>9000</v>
      </c>
      <c r="B86" s="51">
        <v>1.73</v>
      </c>
      <c r="C86" s="51">
        <v>1.97</v>
      </c>
      <c r="D86" s="51">
        <v>2.21</v>
      </c>
      <c r="E86" s="51">
        <v>2.46</v>
      </c>
      <c r="F86" s="51">
        <v>2.7</v>
      </c>
      <c r="G86" s="48">
        <f t="shared" si="35"/>
        <v>83</v>
      </c>
      <c r="H86" s="45">
        <f t="shared" si="24"/>
        <v>2615.76</v>
      </c>
      <c r="I86" s="45">
        <f t="shared" si="25"/>
        <v>6515.775</v>
      </c>
      <c r="J86" s="45">
        <f t="shared" si="26"/>
        <v>11904.165</v>
      </c>
      <c r="K86" s="45">
        <f t="shared" si="27"/>
        <v>13574.925</v>
      </c>
      <c r="L86" s="45">
        <f t="shared" si="28"/>
        <v>17036.73</v>
      </c>
      <c r="M86" s="45">
        <f t="shared" si="29"/>
        <v>18863.28</v>
      </c>
      <c r="N86" s="45">
        <f t="shared" si="30"/>
        <v>22649.22</v>
      </c>
      <c r="O86" s="45">
        <f t="shared" si="31"/>
        <v>30836.7</v>
      </c>
      <c r="P86" s="45">
        <f t="shared" si="32"/>
        <v>37361.25</v>
      </c>
      <c r="Q86" s="45">
        <f t="shared" si="33"/>
        <v>42610.05</v>
      </c>
      <c r="R86" s="45">
        <f t="shared" si="34"/>
        <v>50884.2</v>
      </c>
    </row>
    <row r="87" spans="1:18" ht="12.75">
      <c r="A87" s="50">
        <v>9500</v>
      </c>
      <c r="B87" s="51">
        <v>1.71</v>
      </c>
      <c r="C87" s="51">
        <v>1.94</v>
      </c>
      <c r="D87" s="51">
        <v>2.18</v>
      </c>
      <c r="E87" s="51">
        <v>2.42</v>
      </c>
      <c r="F87" s="51">
        <v>2.65</v>
      </c>
      <c r="G87" s="48">
        <f t="shared" si="35"/>
        <v>84</v>
      </c>
      <c r="H87" s="45">
        <f t="shared" si="24"/>
        <v>2729.16</v>
      </c>
      <c r="I87" s="45">
        <f t="shared" si="25"/>
        <v>6773.025</v>
      </c>
      <c r="J87" s="45">
        <f t="shared" si="26"/>
        <v>12394.935</v>
      </c>
      <c r="K87" s="45">
        <f t="shared" si="27"/>
        <v>14134.575</v>
      </c>
      <c r="L87" s="45">
        <f t="shared" si="28"/>
        <v>17690.805</v>
      </c>
      <c r="M87" s="45">
        <f t="shared" si="29"/>
        <v>19587.48</v>
      </c>
      <c r="N87" s="45">
        <f t="shared" si="30"/>
        <v>23518.77</v>
      </c>
      <c r="O87" s="45">
        <f t="shared" si="31"/>
        <v>31947.075</v>
      </c>
      <c r="P87" s="45">
        <f t="shared" si="32"/>
        <v>38706.5625</v>
      </c>
      <c r="Q87" s="45">
        <f t="shared" si="33"/>
        <v>44144.3625</v>
      </c>
      <c r="R87" s="45">
        <f t="shared" si="34"/>
        <v>52716.45</v>
      </c>
    </row>
    <row r="88" spans="1:18" ht="12.75">
      <c r="A88" s="50">
        <v>10000</v>
      </c>
      <c r="B88" s="51">
        <v>1.69</v>
      </c>
      <c r="C88" s="51">
        <v>1.91</v>
      </c>
      <c r="D88" s="51">
        <v>2.15</v>
      </c>
      <c r="E88" s="51">
        <v>2.38</v>
      </c>
      <c r="F88" s="51">
        <v>2.61</v>
      </c>
      <c r="G88" s="48">
        <f t="shared" si="35"/>
        <v>85</v>
      </c>
      <c r="H88" s="45">
        <f t="shared" si="24"/>
        <v>2839.2</v>
      </c>
      <c r="I88" s="45">
        <f t="shared" si="25"/>
        <v>7019.25</v>
      </c>
      <c r="J88" s="45">
        <f t="shared" si="26"/>
        <v>12867.75</v>
      </c>
      <c r="K88" s="45">
        <f t="shared" si="27"/>
        <v>14673.75</v>
      </c>
      <c r="L88" s="45">
        <f t="shared" si="28"/>
        <v>18314.1</v>
      </c>
      <c r="M88" s="45">
        <f t="shared" si="29"/>
        <v>20277.6</v>
      </c>
      <c r="N88" s="45">
        <f t="shared" si="30"/>
        <v>24347.4</v>
      </c>
      <c r="O88" s="45">
        <f t="shared" si="31"/>
        <v>33120.9</v>
      </c>
      <c r="P88" s="45">
        <f t="shared" si="32"/>
        <v>40128.75</v>
      </c>
      <c r="Q88" s="45">
        <f t="shared" si="33"/>
        <v>45766.35</v>
      </c>
      <c r="R88" s="45">
        <f t="shared" si="34"/>
        <v>54653.4</v>
      </c>
    </row>
    <row r="89" spans="1:18" ht="12.75">
      <c r="A89" s="50">
        <v>10500</v>
      </c>
      <c r="B89" s="51">
        <v>1.66</v>
      </c>
      <c r="C89" s="51">
        <v>1.88</v>
      </c>
      <c r="D89" s="51">
        <v>2.12</v>
      </c>
      <c r="E89" s="51">
        <v>2.34</v>
      </c>
      <c r="F89" s="51">
        <v>2.57</v>
      </c>
      <c r="G89" s="48">
        <f t="shared" si="35"/>
        <v>86</v>
      </c>
      <c r="H89" s="45">
        <f t="shared" si="24"/>
        <v>2928.24</v>
      </c>
      <c r="I89" s="45">
        <f t="shared" si="25"/>
        <v>7254.45</v>
      </c>
      <c r="J89" s="45">
        <f t="shared" si="26"/>
        <v>13322.61</v>
      </c>
      <c r="K89" s="45">
        <f t="shared" si="27"/>
        <v>15192.45</v>
      </c>
      <c r="L89" s="45">
        <f t="shared" si="28"/>
        <v>18906.615</v>
      </c>
      <c r="M89" s="45">
        <f t="shared" si="29"/>
        <v>20933.64</v>
      </c>
      <c r="N89" s="45">
        <f t="shared" si="30"/>
        <v>25135.11</v>
      </c>
      <c r="O89" s="45">
        <f t="shared" si="31"/>
        <v>34243.965</v>
      </c>
      <c r="P89" s="45">
        <f t="shared" si="32"/>
        <v>41489.4375</v>
      </c>
      <c r="Q89" s="45">
        <f t="shared" si="33"/>
        <v>47318.1975</v>
      </c>
      <c r="R89" s="45">
        <f t="shared" si="34"/>
        <v>56506.59</v>
      </c>
    </row>
    <row r="90" spans="1:18" ht="12.75">
      <c r="A90" s="50">
        <v>11000</v>
      </c>
      <c r="B90" s="51">
        <v>1.64</v>
      </c>
      <c r="C90" s="51">
        <v>1.86</v>
      </c>
      <c r="D90" s="51">
        <v>2.09</v>
      </c>
      <c r="E90" s="51">
        <v>2.31</v>
      </c>
      <c r="F90" s="51">
        <v>2.53</v>
      </c>
      <c r="G90" s="48">
        <f t="shared" si="35"/>
        <v>87</v>
      </c>
      <c r="H90" s="45">
        <f t="shared" si="24"/>
        <v>3030.72</v>
      </c>
      <c r="I90" s="45">
        <f t="shared" si="25"/>
        <v>7519.05</v>
      </c>
      <c r="J90" s="45">
        <f t="shared" si="26"/>
        <v>13759.515</v>
      </c>
      <c r="K90" s="45">
        <f t="shared" si="27"/>
        <v>15690.675</v>
      </c>
      <c r="L90" s="45">
        <f t="shared" si="28"/>
        <v>19552.995</v>
      </c>
      <c r="M90" s="45">
        <f t="shared" si="29"/>
        <v>21649.32</v>
      </c>
      <c r="N90" s="45">
        <f t="shared" si="30"/>
        <v>25994.43</v>
      </c>
      <c r="O90" s="45">
        <f t="shared" si="31"/>
        <v>35316.27</v>
      </c>
      <c r="P90" s="45">
        <f t="shared" si="32"/>
        <v>42788.62499999999</v>
      </c>
      <c r="Q90" s="45">
        <f t="shared" si="33"/>
        <v>48799.90499999999</v>
      </c>
      <c r="R90" s="45">
        <f t="shared" si="34"/>
        <v>58276.01999999999</v>
      </c>
    </row>
    <row r="91" spans="1:18" ht="12.75">
      <c r="A91" s="50">
        <v>11500</v>
      </c>
      <c r="B91" s="51">
        <v>1.61</v>
      </c>
      <c r="C91" s="51">
        <v>1.83</v>
      </c>
      <c r="D91" s="51">
        <v>2.06</v>
      </c>
      <c r="E91" s="51">
        <v>2.27</v>
      </c>
      <c r="F91" s="51">
        <v>2.49</v>
      </c>
      <c r="G91" s="48">
        <f t="shared" si="35"/>
        <v>88</v>
      </c>
      <c r="H91" s="45">
        <f t="shared" si="24"/>
        <v>3110.52</v>
      </c>
      <c r="I91" s="45">
        <f t="shared" si="25"/>
        <v>7734.0375</v>
      </c>
      <c r="J91" s="45">
        <f t="shared" si="26"/>
        <v>14178.465</v>
      </c>
      <c r="K91" s="45">
        <f t="shared" si="27"/>
        <v>16168.425</v>
      </c>
      <c r="L91" s="45">
        <f t="shared" si="28"/>
        <v>20087.7975</v>
      </c>
      <c r="M91" s="45">
        <f t="shared" si="29"/>
        <v>22241.46</v>
      </c>
      <c r="N91" s="45">
        <f t="shared" si="30"/>
        <v>26705.415</v>
      </c>
      <c r="O91" s="45">
        <f t="shared" si="31"/>
        <v>36337.815</v>
      </c>
      <c r="P91" s="45">
        <f t="shared" si="32"/>
        <v>44026.3125</v>
      </c>
      <c r="Q91" s="45">
        <f t="shared" si="33"/>
        <v>50211.4725</v>
      </c>
      <c r="R91" s="45">
        <f t="shared" si="34"/>
        <v>59961.69000000001</v>
      </c>
    </row>
    <row r="92" spans="1:18" ht="12.75">
      <c r="A92" s="50">
        <v>12000</v>
      </c>
      <c r="B92" s="51">
        <v>1.59</v>
      </c>
      <c r="C92" s="51">
        <v>1.81</v>
      </c>
      <c r="D92" s="51">
        <v>2.03</v>
      </c>
      <c r="E92" s="51">
        <v>2.24</v>
      </c>
      <c r="F92" s="51">
        <v>2.45</v>
      </c>
      <c r="G92" s="48">
        <f t="shared" si="35"/>
        <v>89</v>
      </c>
      <c r="H92" s="45">
        <f t="shared" si="24"/>
        <v>3205.44</v>
      </c>
      <c r="I92" s="45">
        <f t="shared" si="25"/>
        <v>7982.1</v>
      </c>
      <c r="J92" s="45">
        <f t="shared" si="26"/>
        <v>14579.459999999997</v>
      </c>
      <c r="K92" s="45">
        <f t="shared" si="27"/>
        <v>16625.699999999997</v>
      </c>
      <c r="L92" s="45">
        <f t="shared" si="28"/>
        <v>20684.160000000003</v>
      </c>
      <c r="M92" s="45">
        <f t="shared" si="29"/>
        <v>22901.76</v>
      </c>
      <c r="N92" s="45">
        <f t="shared" si="30"/>
        <v>27498.240000000005</v>
      </c>
      <c r="O92" s="45">
        <f t="shared" si="31"/>
        <v>37308.600000000006</v>
      </c>
      <c r="P92" s="45">
        <f t="shared" si="32"/>
        <v>45202.5</v>
      </c>
      <c r="Q92" s="45">
        <f t="shared" si="33"/>
        <v>51552.90000000001</v>
      </c>
      <c r="R92" s="45">
        <f t="shared" si="34"/>
        <v>61563.600000000006</v>
      </c>
    </row>
    <row r="93" spans="1:18" ht="12.75">
      <c r="A93" s="50">
        <v>12500</v>
      </c>
      <c r="B93" s="51">
        <v>1.57</v>
      </c>
      <c r="C93" s="51">
        <v>1.79</v>
      </c>
      <c r="D93" s="51">
        <v>2</v>
      </c>
      <c r="E93" s="51">
        <v>2.21</v>
      </c>
      <c r="F93" s="51">
        <v>2.42</v>
      </c>
      <c r="G93" s="48">
        <f t="shared" si="35"/>
        <v>90</v>
      </c>
      <c r="H93" s="45">
        <f t="shared" si="24"/>
        <v>3297</v>
      </c>
      <c r="I93" s="45">
        <f t="shared" si="25"/>
        <v>8222.8125</v>
      </c>
      <c r="J93" s="45">
        <f t="shared" si="26"/>
        <v>14962.5</v>
      </c>
      <c r="K93" s="45">
        <f t="shared" si="27"/>
        <v>17062.5</v>
      </c>
      <c r="L93" s="45">
        <f t="shared" si="28"/>
        <v>21257.4375</v>
      </c>
      <c r="M93" s="45">
        <f t="shared" si="29"/>
        <v>23536.5</v>
      </c>
      <c r="N93" s="45">
        <f t="shared" si="30"/>
        <v>28260.375</v>
      </c>
      <c r="O93" s="45">
        <f t="shared" si="31"/>
        <v>38387.25</v>
      </c>
      <c r="P93" s="45">
        <f t="shared" si="32"/>
        <v>46509.375</v>
      </c>
      <c r="Q93" s="45">
        <f t="shared" si="33"/>
        <v>53043.375</v>
      </c>
      <c r="R93" s="45">
        <f t="shared" si="34"/>
        <v>63343.5</v>
      </c>
    </row>
    <row r="94" spans="1:18" ht="12.75">
      <c r="A94" s="50">
        <v>13000</v>
      </c>
      <c r="B94" s="51">
        <v>1.55</v>
      </c>
      <c r="C94" s="51">
        <v>1.76</v>
      </c>
      <c r="D94" s="51">
        <v>1.97</v>
      </c>
      <c r="E94" s="51">
        <v>2.18</v>
      </c>
      <c r="F94" s="51">
        <v>2.39</v>
      </c>
      <c r="G94" s="48">
        <f t="shared" si="35"/>
        <v>91</v>
      </c>
      <c r="H94" s="45">
        <f t="shared" si="24"/>
        <v>3385.2</v>
      </c>
      <c r="I94" s="45">
        <f t="shared" si="25"/>
        <v>8408.4</v>
      </c>
      <c r="J94" s="45">
        <f t="shared" si="26"/>
        <v>15327.585</v>
      </c>
      <c r="K94" s="45">
        <f t="shared" si="27"/>
        <v>17478.825</v>
      </c>
      <c r="L94" s="45">
        <f t="shared" si="28"/>
        <v>21807.63</v>
      </c>
      <c r="M94" s="45">
        <f t="shared" si="29"/>
        <v>24145.68</v>
      </c>
      <c r="N94" s="45">
        <f t="shared" si="30"/>
        <v>28991.820000000003</v>
      </c>
      <c r="O94" s="45">
        <f t="shared" si="31"/>
        <v>39427.83</v>
      </c>
      <c r="P94" s="45">
        <f t="shared" si="32"/>
        <v>47770.125</v>
      </c>
      <c r="Q94" s="45">
        <f t="shared" si="33"/>
        <v>54481.245</v>
      </c>
      <c r="R94" s="45">
        <f t="shared" si="34"/>
        <v>65060.58</v>
      </c>
    </row>
    <row r="95" spans="1:18" ht="12.75">
      <c r="A95" s="50">
        <v>13500</v>
      </c>
      <c r="B95" s="51">
        <v>1.53</v>
      </c>
      <c r="C95" s="51">
        <v>1.74</v>
      </c>
      <c r="D95" s="51">
        <v>1.94</v>
      </c>
      <c r="E95" s="51">
        <v>2.15</v>
      </c>
      <c r="F95" s="51">
        <v>2.36</v>
      </c>
      <c r="G95" s="48">
        <f t="shared" si="35"/>
        <v>92</v>
      </c>
      <c r="H95" s="45">
        <f t="shared" si="24"/>
        <v>3470.04</v>
      </c>
      <c r="I95" s="45">
        <f t="shared" si="25"/>
        <v>8632.575</v>
      </c>
      <c r="J95" s="45">
        <f t="shared" si="26"/>
        <v>15674.715</v>
      </c>
      <c r="K95" s="45">
        <f t="shared" si="27"/>
        <v>17874.675</v>
      </c>
      <c r="L95" s="45">
        <f t="shared" si="28"/>
        <v>22334.7375</v>
      </c>
      <c r="M95" s="45">
        <f t="shared" si="29"/>
        <v>24729.3</v>
      </c>
      <c r="N95" s="45">
        <f t="shared" si="30"/>
        <v>29692.575</v>
      </c>
      <c r="O95" s="45">
        <f t="shared" si="31"/>
        <v>40430.34</v>
      </c>
      <c r="P95" s="45">
        <f t="shared" si="32"/>
        <v>48984.75</v>
      </c>
      <c r="Q95" s="45">
        <f t="shared" si="33"/>
        <v>55866.51</v>
      </c>
      <c r="R95" s="45">
        <f t="shared" si="34"/>
        <v>66714.84</v>
      </c>
    </row>
    <row r="96" spans="1:18" ht="12.75">
      <c r="A96" s="50">
        <v>14000</v>
      </c>
      <c r="B96" s="51">
        <v>1.52</v>
      </c>
      <c r="C96" s="51">
        <v>1.72</v>
      </c>
      <c r="D96" s="51">
        <v>1.92</v>
      </c>
      <c r="E96" s="51">
        <v>2.12</v>
      </c>
      <c r="F96" s="51">
        <v>2.33</v>
      </c>
      <c r="G96" s="48">
        <f t="shared" si="35"/>
        <v>93</v>
      </c>
      <c r="H96" s="45">
        <f t="shared" si="24"/>
        <v>3575.04</v>
      </c>
      <c r="I96" s="45">
        <f t="shared" si="25"/>
        <v>8849.4</v>
      </c>
      <c r="J96" s="45">
        <f t="shared" si="26"/>
        <v>16087.68</v>
      </c>
      <c r="K96" s="45">
        <f t="shared" si="27"/>
        <v>18345.6</v>
      </c>
      <c r="L96" s="45">
        <f t="shared" si="28"/>
        <v>22838.76</v>
      </c>
      <c r="M96" s="45">
        <f t="shared" si="29"/>
        <v>25287.36</v>
      </c>
      <c r="N96" s="45">
        <f t="shared" si="30"/>
        <v>30362.64</v>
      </c>
      <c r="O96" s="45">
        <f t="shared" si="31"/>
        <v>41394.78</v>
      </c>
      <c r="P96" s="45">
        <f t="shared" si="32"/>
        <v>50153.25</v>
      </c>
      <c r="Q96" s="45">
        <f t="shared" si="33"/>
        <v>57199.17</v>
      </c>
      <c r="R96" s="45">
        <f t="shared" si="34"/>
        <v>68306.28</v>
      </c>
    </row>
    <row r="97" spans="1:18" ht="12.75">
      <c r="A97" s="50">
        <v>14500</v>
      </c>
      <c r="B97" s="51">
        <v>1.5</v>
      </c>
      <c r="C97" s="51">
        <v>1.7</v>
      </c>
      <c r="D97" s="51">
        <v>1.89</v>
      </c>
      <c r="E97" s="51">
        <v>2.09</v>
      </c>
      <c r="F97" s="51">
        <v>2.3</v>
      </c>
      <c r="G97" s="48">
        <f t="shared" si="35"/>
        <v>94</v>
      </c>
      <c r="H97" s="45">
        <f t="shared" si="24"/>
        <v>3654</v>
      </c>
      <c r="I97" s="45">
        <f t="shared" si="25"/>
        <v>9058.875</v>
      </c>
      <c r="J97" s="45">
        <f t="shared" si="26"/>
        <v>16401.8925</v>
      </c>
      <c r="K97" s="45">
        <f t="shared" si="27"/>
        <v>18703.9125</v>
      </c>
      <c r="L97" s="45">
        <f t="shared" si="28"/>
        <v>23319.697499999995</v>
      </c>
      <c r="M97" s="45">
        <f t="shared" si="29"/>
        <v>25819.859999999997</v>
      </c>
      <c r="N97" s="45">
        <f t="shared" si="30"/>
        <v>31002.014999999996</v>
      </c>
      <c r="O97" s="45">
        <f t="shared" si="31"/>
        <v>42321.15</v>
      </c>
      <c r="P97" s="45">
        <f t="shared" si="32"/>
        <v>51275.625</v>
      </c>
      <c r="Q97" s="45">
        <f t="shared" si="33"/>
        <v>58479.225</v>
      </c>
      <c r="R97" s="45">
        <f t="shared" si="34"/>
        <v>69834.9</v>
      </c>
    </row>
    <row r="98" spans="1:18" ht="12.75">
      <c r="A98" s="50">
        <v>15000</v>
      </c>
      <c r="B98" s="51">
        <v>1.49</v>
      </c>
      <c r="C98" s="51">
        <v>1.68</v>
      </c>
      <c r="D98" s="51">
        <v>1.87</v>
      </c>
      <c r="E98" s="51">
        <v>2.07</v>
      </c>
      <c r="F98" s="51">
        <v>2.27</v>
      </c>
      <c r="G98" s="48">
        <f t="shared" si="35"/>
        <v>95</v>
      </c>
      <c r="H98" s="45">
        <f t="shared" si="24"/>
        <v>3754.8</v>
      </c>
      <c r="I98" s="45">
        <f t="shared" si="25"/>
        <v>9261</v>
      </c>
      <c r="J98" s="45">
        <f t="shared" si="26"/>
        <v>16787.925</v>
      </c>
      <c r="K98" s="45">
        <f t="shared" si="27"/>
        <v>19144.125</v>
      </c>
      <c r="L98" s="45">
        <f t="shared" si="28"/>
        <v>23892.974999999995</v>
      </c>
      <c r="M98" s="45">
        <f t="shared" si="29"/>
        <v>26454.599999999995</v>
      </c>
      <c r="N98" s="45">
        <f t="shared" si="30"/>
        <v>31764.149999999994</v>
      </c>
      <c r="O98" s="45">
        <f t="shared" si="31"/>
        <v>43209.45</v>
      </c>
      <c r="P98" s="45">
        <f t="shared" si="32"/>
        <v>52351.875</v>
      </c>
      <c r="Q98" s="45">
        <f t="shared" si="33"/>
        <v>59706.675</v>
      </c>
      <c r="R98" s="45">
        <f t="shared" si="34"/>
        <v>71300.7</v>
      </c>
    </row>
    <row r="99" spans="1:18" ht="12.75">
      <c r="A99" s="50">
        <v>17500</v>
      </c>
      <c r="B99" s="51">
        <v>1.41</v>
      </c>
      <c r="C99" s="51">
        <v>1.58</v>
      </c>
      <c r="D99" s="51">
        <v>1.76</v>
      </c>
      <c r="E99" s="51">
        <v>1.94</v>
      </c>
      <c r="F99" s="51">
        <v>2.12</v>
      </c>
      <c r="G99" s="48">
        <f t="shared" si="35"/>
        <v>96</v>
      </c>
      <c r="H99" s="45">
        <f t="shared" si="24"/>
        <v>4145.4</v>
      </c>
      <c r="I99" s="45">
        <f t="shared" si="25"/>
        <v>10161.375</v>
      </c>
      <c r="J99" s="45">
        <f t="shared" si="26"/>
        <v>18433.8</v>
      </c>
      <c r="K99" s="45">
        <f t="shared" si="27"/>
        <v>21021</v>
      </c>
      <c r="L99" s="45">
        <f t="shared" si="28"/>
        <v>26124.525</v>
      </c>
      <c r="M99" s="45">
        <f t="shared" si="29"/>
        <v>28925.4</v>
      </c>
      <c r="N99" s="45">
        <f t="shared" si="30"/>
        <v>34730.85</v>
      </c>
      <c r="O99" s="45">
        <f t="shared" si="31"/>
        <v>47079.9</v>
      </c>
      <c r="P99" s="45">
        <f t="shared" si="32"/>
        <v>57041.25</v>
      </c>
      <c r="Q99" s="45">
        <f t="shared" si="33"/>
        <v>65054.85</v>
      </c>
      <c r="R99" s="45">
        <f t="shared" si="34"/>
        <v>77687.4</v>
      </c>
    </row>
    <row r="100" spans="1:18" ht="12.75">
      <c r="A100" s="50">
        <v>20000</v>
      </c>
      <c r="B100" s="51">
        <v>1.34</v>
      </c>
      <c r="C100" s="51">
        <v>1.51</v>
      </c>
      <c r="D100" s="51">
        <v>1.67</v>
      </c>
      <c r="E100" s="51">
        <v>1.84</v>
      </c>
      <c r="F100" s="51">
        <v>2</v>
      </c>
      <c r="G100" s="48">
        <f t="shared" si="35"/>
        <v>97</v>
      </c>
      <c r="H100" s="45">
        <f t="shared" si="24"/>
        <v>4502.4</v>
      </c>
      <c r="I100" s="45">
        <f t="shared" si="25"/>
        <v>11098.5</v>
      </c>
      <c r="J100" s="45">
        <f t="shared" si="26"/>
        <v>19989.9</v>
      </c>
      <c r="K100" s="45">
        <f t="shared" si="27"/>
        <v>22795.5</v>
      </c>
      <c r="L100" s="45">
        <f t="shared" si="28"/>
        <v>28317.6</v>
      </c>
      <c r="M100" s="45">
        <f t="shared" si="29"/>
        <v>31353.6</v>
      </c>
      <c r="N100" s="45">
        <f t="shared" si="30"/>
        <v>37646.4</v>
      </c>
      <c r="O100" s="45">
        <f t="shared" si="31"/>
        <v>50760</v>
      </c>
      <c r="P100" s="45">
        <f t="shared" si="32"/>
        <v>61500</v>
      </c>
      <c r="Q100" s="45">
        <f t="shared" si="33"/>
        <v>70140</v>
      </c>
      <c r="R100" s="45">
        <f t="shared" si="34"/>
        <v>83760</v>
      </c>
    </row>
    <row r="101" spans="1:18" ht="12.75">
      <c r="A101" s="50">
        <v>22500</v>
      </c>
      <c r="B101" s="51">
        <v>1.28</v>
      </c>
      <c r="C101" s="51">
        <v>1.43</v>
      </c>
      <c r="D101" s="51">
        <v>1.57</v>
      </c>
      <c r="E101" s="51">
        <v>1.73</v>
      </c>
      <c r="F101" s="51">
        <v>1.88</v>
      </c>
      <c r="G101" s="48">
        <f t="shared" si="35"/>
        <v>98</v>
      </c>
      <c r="H101" s="45">
        <f aca="true" t="shared" si="36" ref="H101:H125">$A101*$B101*H$2*$J$127*$J$128*$J$129*$J$130/100</f>
        <v>4838.4</v>
      </c>
      <c r="I101" s="45">
        <f aca="true" t="shared" si="37" ref="I101:I125">$A101*$C101*$I$2*$J$127*$J$128*$J$129*$J$130/100</f>
        <v>11824.3125</v>
      </c>
      <c r="J101" s="45">
        <f aca="true" t="shared" si="38" ref="J101:J125">$A101*$D101*$J$2*$J$127*$J$128*$J$129*$J$130/100</f>
        <v>21142.0125</v>
      </c>
      <c r="K101" s="45">
        <f aca="true" t="shared" si="39" ref="K101:K125">$A101*$D101*$K$2*$J$127*$J$128*$J$129*$J$130/100</f>
        <v>24109.3125</v>
      </c>
      <c r="L101" s="45">
        <f aca="true" t="shared" si="40" ref="L101:L125">$A101*$E101*$L$2*$J$127*$J$128*$J$129*$J$130/100</f>
        <v>29952.7875</v>
      </c>
      <c r="M101" s="45">
        <f aca="true" t="shared" si="41" ref="M101:M125">$A101*$E101*$M$2*$J$127*$J$128*$J$129*$J$130/100</f>
        <v>33164.1</v>
      </c>
      <c r="N101" s="45">
        <f aca="true" t="shared" si="42" ref="N101:N125">$A101*$E101*$N$2*$J$127*$J$128*$J$129*$J$130/100</f>
        <v>39820.275</v>
      </c>
      <c r="O101" s="45">
        <f aca="true" t="shared" si="43" ref="O101:O125">$A101*$F101*$O$2*$J$127*$J$128*$J$129*$J$130/100</f>
        <v>53678.7</v>
      </c>
      <c r="P101" s="45">
        <f aca="true" t="shared" si="44" ref="P101:P125">$A101*$F101*$P$2*$J$127*$J$128*$J$129*$J$130/100</f>
        <v>65036.25</v>
      </c>
      <c r="Q101" s="45">
        <f aca="true" t="shared" si="45" ref="Q101:Q125">$A101*$F101*$Q$2*$J$127*$J$128*$J$129*$J$130/100</f>
        <v>74173.05</v>
      </c>
      <c r="R101" s="45">
        <f aca="true" t="shared" si="46" ref="R101:R125">$A101*$F101*$R$2*$J$127*$J$128*$J$129*$J$130/100</f>
        <v>88576.2</v>
      </c>
    </row>
    <row r="102" spans="1:18" ht="12.75">
      <c r="A102" s="50">
        <v>25000</v>
      </c>
      <c r="B102" s="51">
        <v>1.22</v>
      </c>
      <c r="C102" s="51">
        <v>1.35</v>
      </c>
      <c r="D102" s="51">
        <v>1.5</v>
      </c>
      <c r="E102" s="51">
        <v>1.64</v>
      </c>
      <c r="F102" s="51">
        <v>1.79</v>
      </c>
      <c r="G102" s="48">
        <f aca="true" t="shared" si="47" ref="G102:G125">G101+1</f>
        <v>99</v>
      </c>
      <c r="H102" s="45">
        <f t="shared" si="36"/>
        <v>5124</v>
      </c>
      <c r="I102" s="45">
        <f t="shared" si="37"/>
        <v>12403.125</v>
      </c>
      <c r="J102" s="45">
        <f t="shared" si="38"/>
        <v>22443.75</v>
      </c>
      <c r="K102" s="45">
        <f t="shared" si="39"/>
        <v>25593.75</v>
      </c>
      <c r="L102" s="45">
        <f t="shared" si="40"/>
        <v>31549.5</v>
      </c>
      <c r="M102" s="45">
        <f t="shared" si="41"/>
        <v>34932</v>
      </c>
      <c r="N102" s="45">
        <f t="shared" si="42"/>
        <v>41943</v>
      </c>
      <c r="O102" s="45">
        <f t="shared" si="43"/>
        <v>56787.75</v>
      </c>
      <c r="P102" s="45">
        <f t="shared" si="44"/>
        <v>68803.125</v>
      </c>
      <c r="Q102" s="45">
        <f t="shared" si="45"/>
        <v>78469.125</v>
      </c>
      <c r="R102" s="45">
        <f t="shared" si="46"/>
        <v>93706.5</v>
      </c>
    </row>
    <row r="103" spans="1:18" ht="12.75">
      <c r="A103" s="50">
        <v>27500</v>
      </c>
      <c r="B103" s="51">
        <v>1.16</v>
      </c>
      <c r="C103" s="51">
        <v>1.29</v>
      </c>
      <c r="D103" s="51">
        <v>1.42</v>
      </c>
      <c r="E103" s="51">
        <v>1.55</v>
      </c>
      <c r="F103" s="51">
        <v>1.68</v>
      </c>
      <c r="G103" s="48">
        <f t="shared" si="47"/>
        <v>100</v>
      </c>
      <c r="H103" s="45">
        <f t="shared" si="36"/>
        <v>5359.199999999999</v>
      </c>
      <c r="I103" s="45">
        <f t="shared" si="37"/>
        <v>13037.0625</v>
      </c>
      <c r="J103" s="45">
        <f t="shared" si="38"/>
        <v>23371.425</v>
      </c>
      <c r="K103" s="45">
        <f t="shared" si="39"/>
        <v>26651.625</v>
      </c>
      <c r="L103" s="45">
        <f t="shared" si="40"/>
        <v>32799.9375</v>
      </c>
      <c r="M103" s="45">
        <f t="shared" si="41"/>
        <v>36316.5</v>
      </c>
      <c r="N103" s="45">
        <f t="shared" si="42"/>
        <v>43605.375</v>
      </c>
      <c r="O103" s="45">
        <f t="shared" si="43"/>
        <v>58627.8</v>
      </c>
      <c r="P103" s="45">
        <f t="shared" si="44"/>
        <v>71032.5</v>
      </c>
      <c r="Q103" s="45">
        <f t="shared" si="45"/>
        <v>81011.7</v>
      </c>
      <c r="R103" s="45">
        <f t="shared" si="46"/>
        <v>96742.8</v>
      </c>
    </row>
    <row r="104" spans="1:18" ht="12.75">
      <c r="A104" s="50">
        <v>30000</v>
      </c>
      <c r="B104" s="51">
        <v>1.1</v>
      </c>
      <c r="C104" s="51">
        <v>1.22</v>
      </c>
      <c r="D104" s="51">
        <v>1.35</v>
      </c>
      <c r="E104" s="51">
        <v>1.47</v>
      </c>
      <c r="F104" s="51">
        <v>1.61</v>
      </c>
      <c r="G104" s="48">
        <f t="shared" si="47"/>
        <v>101</v>
      </c>
      <c r="H104" s="45">
        <f t="shared" si="36"/>
        <v>5544</v>
      </c>
      <c r="I104" s="45">
        <f t="shared" si="37"/>
        <v>13450.5</v>
      </c>
      <c r="J104" s="45">
        <f t="shared" si="38"/>
        <v>24239.25</v>
      </c>
      <c r="K104" s="45">
        <f t="shared" si="39"/>
        <v>27641.25</v>
      </c>
      <c r="L104" s="45">
        <f t="shared" si="40"/>
        <v>33934.95</v>
      </c>
      <c r="M104" s="45">
        <f t="shared" si="41"/>
        <v>37573.2</v>
      </c>
      <c r="N104" s="45">
        <f t="shared" si="42"/>
        <v>45114.3</v>
      </c>
      <c r="O104" s="45">
        <f t="shared" si="43"/>
        <v>61292.7</v>
      </c>
      <c r="P104" s="45">
        <f t="shared" si="44"/>
        <v>74261.25</v>
      </c>
      <c r="Q104" s="45">
        <f t="shared" si="45"/>
        <v>84694.05</v>
      </c>
      <c r="R104" s="45">
        <f t="shared" si="46"/>
        <v>101140.2</v>
      </c>
    </row>
    <row r="105" spans="1:18" ht="12.75">
      <c r="A105" s="50">
        <v>32500</v>
      </c>
      <c r="B105" s="51">
        <v>1.05</v>
      </c>
      <c r="C105" s="51">
        <v>1.18</v>
      </c>
      <c r="D105" s="51">
        <v>1.31</v>
      </c>
      <c r="E105" s="51">
        <v>1.44</v>
      </c>
      <c r="F105" s="51">
        <v>1.57</v>
      </c>
      <c r="G105" s="48">
        <f t="shared" si="47"/>
        <v>102</v>
      </c>
      <c r="H105" s="45">
        <f t="shared" si="36"/>
        <v>5733</v>
      </c>
      <c r="I105" s="45">
        <f t="shared" si="37"/>
        <v>14093.625</v>
      </c>
      <c r="J105" s="45">
        <f t="shared" si="38"/>
        <v>25481.1375</v>
      </c>
      <c r="K105" s="45">
        <f t="shared" si="39"/>
        <v>29057.4375</v>
      </c>
      <c r="L105" s="45">
        <f t="shared" si="40"/>
        <v>36012.6</v>
      </c>
      <c r="M105" s="45">
        <f t="shared" si="41"/>
        <v>39873.6</v>
      </c>
      <c r="N105" s="45">
        <f t="shared" si="42"/>
        <v>47876.4</v>
      </c>
      <c r="O105" s="45">
        <f t="shared" si="43"/>
        <v>64750.725</v>
      </c>
      <c r="P105" s="45">
        <f t="shared" si="44"/>
        <v>78450.9375</v>
      </c>
      <c r="Q105" s="45">
        <f t="shared" si="45"/>
        <v>89472.3375</v>
      </c>
      <c r="R105" s="45">
        <f t="shared" si="46"/>
        <v>106846.35</v>
      </c>
    </row>
    <row r="106" spans="1:18" ht="12.75">
      <c r="A106" s="50">
        <v>35000</v>
      </c>
      <c r="B106" s="51">
        <v>1.01</v>
      </c>
      <c r="C106" s="51">
        <v>1.14</v>
      </c>
      <c r="D106" s="51">
        <v>1.26</v>
      </c>
      <c r="E106" s="51">
        <v>1.39</v>
      </c>
      <c r="F106" s="51">
        <v>1.51</v>
      </c>
      <c r="G106" s="48">
        <f t="shared" si="47"/>
        <v>103</v>
      </c>
      <c r="H106" s="45">
        <f t="shared" si="36"/>
        <v>5938.8</v>
      </c>
      <c r="I106" s="45">
        <f t="shared" si="37"/>
        <v>14663.25</v>
      </c>
      <c r="J106" s="45">
        <f t="shared" si="38"/>
        <v>26393.85</v>
      </c>
      <c r="K106" s="45">
        <f t="shared" si="39"/>
        <v>30098.25</v>
      </c>
      <c r="L106" s="45">
        <f t="shared" si="40"/>
        <v>37436.175</v>
      </c>
      <c r="M106" s="45">
        <f t="shared" si="41"/>
        <v>41449.8</v>
      </c>
      <c r="N106" s="45">
        <f t="shared" si="42"/>
        <v>49768.95</v>
      </c>
      <c r="O106" s="45">
        <f t="shared" si="43"/>
        <v>67066.65</v>
      </c>
      <c r="P106" s="45">
        <f t="shared" si="44"/>
        <v>81256.875</v>
      </c>
      <c r="Q106" s="45">
        <f t="shared" si="45"/>
        <v>92672.475</v>
      </c>
      <c r="R106" s="45">
        <f t="shared" si="46"/>
        <v>110667.9</v>
      </c>
    </row>
    <row r="107" spans="1:18" ht="12.75">
      <c r="A107" s="50">
        <v>37500</v>
      </c>
      <c r="B107" s="51">
        <v>0.98</v>
      </c>
      <c r="C107" s="51">
        <v>1.1</v>
      </c>
      <c r="D107" s="51">
        <v>1.22</v>
      </c>
      <c r="E107" s="51">
        <v>1.34</v>
      </c>
      <c r="F107" s="51">
        <v>1.46</v>
      </c>
      <c r="G107" s="48">
        <f t="shared" si="47"/>
        <v>104</v>
      </c>
      <c r="H107" s="45">
        <f t="shared" si="36"/>
        <v>6174</v>
      </c>
      <c r="I107" s="45">
        <f t="shared" si="37"/>
        <v>15159.375</v>
      </c>
      <c r="J107" s="45">
        <f t="shared" si="38"/>
        <v>27381.375</v>
      </c>
      <c r="K107" s="45">
        <f t="shared" si="39"/>
        <v>31224.375</v>
      </c>
      <c r="L107" s="45">
        <f t="shared" si="40"/>
        <v>38667.375</v>
      </c>
      <c r="M107" s="45">
        <f t="shared" si="41"/>
        <v>42813</v>
      </c>
      <c r="N107" s="45">
        <f t="shared" si="42"/>
        <v>51405.75</v>
      </c>
      <c r="O107" s="45">
        <f t="shared" si="43"/>
        <v>69477.75</v>
      </c>
      <c r="P107" s="45">
        <f t="shared" si="44"/>
        <v>84178.125</v>
      </c>
      <c r="Q107" s="45">
        <f t="shared" si="45"/>
        <v>96004.125</v>
      </c>
      <c r="R107" s="45">
        <f t="shared" si="46"/>
        <v>114646.5</v>
      </c>
    </row>
    <row r="108" spans="1:18" ht="12.75">
      <c r="A108" s="50">
        <v>40000</v>
      </c>
      <c r="B108" s="51">
        <v>0.95</v>
      </c>
      <c r="C108" s="51">
        <v>1.07</v>
      </c>
      <c r="D108" s="51">
        <v>1.18</v>
      </c>
      <c r="E108" s="51">
        <v>1.3</v>
      </c>
      <c r="F108" s="51">
        <v>1.41</v>
      </c>
      <c r="G108" s="48">
        <f t="shared" si="47"/>
        <v>105</v>
      </c>
      <c r="H108" s="45">
        <f t="shared" si="36"/>
        <v>6384</v>
      </c>
      <c r="I108" s="45">
        <f t="shared" si="37"/>
        <v>15729</v>
      </c>
      <c r="J108" s="45">
        <f t="shared" si="38"/>
        <v>28249.2</v>
      </c>
      <c r="K108" s="45">
        <f t="shared" si="39"/>
        <v>32214</v>
      </c>
      <c r="L108" s="45">
        <f t="shared" si="40"/>
        <v>40014</v>
      </c>
      <c r="M108" s="45">
        <f t="shared" si="41"/>
        <v>44304</v>
      </c>
      <c r="N108" s="45">
        <f t="shared" si="42"/>
        <v>53196</v>
      </c>
      <c r="O108" s="45">
        <f t="shared" si="43"/>
        <v>71571.6</v>
      </c>
      <c r="P108" s="45">
        <f t="shared" si="44"/>
        <v>86715</v>
      </c>
      <c r="Q108" s="45">
        <f t="shared" si="45"/>
        <v>98897.4</v>
      </c>
      <c r="R108" s="45">
        <f t="shared" si="46"/>
        <v>118101.6</v>
      </c>
    </row>
    <row r="109" spans="1:18" ht="12.75">
      <c r="A109" s="50">
        <v>42500</v>
      </c>
      <c r="B109" s="51">
        <v>0.92</v>
      </c>
      <c r="C109" s="51">
        <v>1.04</v>
      </c>
      <c r="D109" s="51">
        <v>1.15</v>
      </c>
      <c r="E109" s="51">
        <v>1.26</v>
      </c>
      <c r="F109" s="51">
        <v>1.37</v>
      </c>
      <c r="G109" s="48">
        <f t="shared" si="47"/>
        <v>106</v>
      </c>
      <c r="H109" s="45">
        <f t="shared" si="36"/>
        <v>6568.8</v>
      </c>
      <c r="I109" s="45">
        <f t="shared" si="37"/>
        <v>16243.5</v>
      </c>
      <c r="J109" s="45">
        <f t="shared" si="38"/>
        <v>29251.687499999996</v>
      </c>
      <c r="K109" s="45">
        <f t="shared" si="39"/>
        <v>33357.18749999999</v>
      </c>
      <c r="L109" s="45">
        <f t="shared" si="40"/>
        <v>41206.725</v>
      </c>
      <c r="M109" s="45">
        <f t="shared" si="41"/>
        <v>45624.6</v>
      </c>
      <c r="N109" s="45">
        <f t="shared" si="42"/>
        <v>54781.65</v>
      </c>
      <c r="O109" s="45">
        <f t="shared" si="43"/>
        <v>73887.52500000001</v>
      </c>
      <c r="P109" s="45">
        <f t="shared" si="44"/>
        <v>89520.9375</v>
      </c>
      <c r="Q109" s="45">
        <f t="shared" si="45"/>
        <v>102097.53750000002</v>
      </c>
      <c r="R109" s="45">
        <f t="shared" si="46"/>
        <v>121923.15000000002</v>
      </c>
    </row>
    <row r="110" spans="1:18" ht="12.75">
      <c r="A110" s="50">
        <v>45000</v>
      </c>
      <c r="B110" s="51">
        <v>0.89</v>
      </c>
      <c r="C110" s="51">
        <v>1.01</v>
      </c>
      <c r="D110" s="51">
        <v>1.11</v>
      </c>
      <c r="E110" s="51">
        <v>1.23</v>
      </c>
      <c r="F110" s="51">
        <v>1.33</v>
      </c>
      <c r="G110" s="48">
        <f t="shared" si="47"/>
        <v>107</v>
      </c>
      <c r="H110" s="45">
        <f t="shared" si="36"/>
        <v>6728.4</v>
      </c>
      <c r="I110" s="45">
        <f t="shared" si="37"/>
        <v>16702.875</v>
      </c>
      <c r="J110" s="45">
        <f t="shared" si="38"/>
        <v>29895.075000000004</v>
      </c>
      <c r="K110" s="45">
        <f t="shared" si="39"/>
        <v>34090.87500000001</v>
      </c>
      <c r="L110" s="45">
        <f t="shared" si="40"/>
        <v>42591.825</v>
      </c>
      <c r="M110" s="45">
        <f t="shared" si="41"/>
        <v>47158.2</v>
      </c>
      <c r="N110" s="45">
        <f t="shared" si="42"/>
        <v>56623.05</v>
      </c>
      <c r="O110" s="45">
        <f t="shared" si="43"/>
        <v>75949.65</v>
      </c>
      <c r="P110" s="45">
        <f t="shared" si="44"/>
        <v>92019.375</v>
      </c>
      <c r="Q110" s="45">
        <f t="shared" si="45"/>
        <v>104946.975</v>
      </c>
      <c r="R110" s="45">
        <f t="shared" si="46"/>
        <v>125325.9</v>
      </c>
    </row>
    <row r="111" spans="1:18" ht="12.75">
      <c r="A111" s="50">
        <v>47500</v>
      </c>
      <c r="B111" s="51">
        <v>0.87</v>
      </c>
      <c r="C111" s="51">
        <v>0.98</v>
      </c>
      <c r="D111" s="51">
        <v>1.08</v>
      </c>
      <c r="E111" s="51">
        <v>1.19</v>
      </c>
      <c r="F111" s="51">
        <v>1.3</v>
      </c>
      <c r="G111" s="48">
        <f t="shared" si="47"/>
        <v>108</v>
      </c>
      <c r="H111" s="45">
        <f t="shared" si="36"/>
        <v>6942.6</v>
      </c>
      <c r="I111" s="45">
        <f t="shared" si="37"/>
        <v>17107.125</v>
      </c>
      <c r="J111" s="45">
        <f t="shared" si="38"/>
        <v>30703.05</v>
      </c>
      <c r="K111" s="45">
        <f t="shared" si="39"/>
        <v>35012.25</v>
      </c>
      <c r="L111" s="45">
        <f t="shared" si="40"/>
        <v>43495.9875</v>
      </c>
      <c r="M111" s="45">
        <f t="shared" si="41"/>
        <v>48159.3</v>
      </c>
      <c r="N111" s="45">
        <f t="shared" si="42"/>
        <v>57825.075</v>
      </c>
      <c r="O111" s="45">
        <f t="shared" si="43"/>
        <v>78360.75</v>
      </c>
      <c r="P111" s="45">
        <f t="shared" si="44"/>
        <v>94940.625</v>
      </c>
      <c r="Q111" s="45">
        <f t="shared" si="45"/>
        <v>108278.625</v>
      </c>
      <c r="R111" s="45">
        <f t="shared" si="46"/>
        <v>129304.5</v>
      </c>
    </row>
    <row r="112" spans="1:18" ht="12.75">
      <c r="A112" s="50">
        <v>50000</v>
      </c>
      <c r="B112" s="51">
        <v>0.85</v>
      </c>
      <c r="C112" s="51">
        <v>0.96</v>
      </c>
      <c r="D112" s="51">
        <v>1.05</v>
      </c>
      <c r="E112" s="51">
        <v>1.16</v>
      </c>
      <c r="F112" s="51">
        <v>1.26</v>
      </c>
      <c r="G112" s="48">
        <f t="shared" si="47"/>
        <v>109</v>
      </c>
      <c r="H112" s="45">
        <f t="shared" si="36"/>
        <v>7140</v>
      </c>
      <c r="I112" s="45">
        <f t="shared" si="37"/>
        <v>17640</v>
      </c>
      <c r="J112" s="45">
        <f t="shared" si="38"/>
        <v>31421.25</v>
      </c>
      <c r="K112" s="45">
        <f t="shared" si="39"/>
        <v>35831.25</v>
      </c>
      <c r="L112" s="45">
        <f t="shared" si="40"/>
        <v>44630.99999999999</v>
      </c>
      <c r="M112" s="45">
        <f t="shared" si="41"/>
        <v>49415.99999999999</v>
      </c>
      <c r="N112" s="45">
        <f t="shared" si="42"/>
        <v>59333.99999999999</v>
      </c>
      <c r="O112" s="45">
        <f t="shared" si="43"/>
        <v>79947</v>
      </c>
      <c r="P112" s="45">
        <f t="shared" si="44"/>
        <v>96862.5</v>
      </c>
      <c r="Q112" s="45">
        <f t="shared" si="45"/>
        <v>110470.5</v>
      </c>
      <c r="R112" s="45">
        <f t="shared" si="46"/>
        <v>131922</v>
      </c>
    </row>
    <row r="113" spans="1:18" ht="12.75">
      <c r="A113" s="50">
        <v>52500</v>
      </c>
      <c r="B113" s="51">
        <v>0.83</v>
      </c>
      <c r="C113" s="51">
        <v>0.93</v>
      </c>
      <c r="D113" s="51">
        <v>1.03</v>
      </c>
      <c r="E113" s="51">
        <v>1.14</v>
      </c>
      <c r="F113" s="51">
        <v>1.23</v>
      </c>
      <c r="G113" s="48">
        <f t="shared" si="47"/>
        <v>110</v>
      </c>
      <c r="H113" s="45">
        <f t="shared" si="36"/>
        <v>7320.6</v>
      </c>
      <c r="I113" s="45">
        <f t="shared" si="37"/>
        <v>17943.1875</v>
      </c>
      <c r="J113" s="45">
        <f t="shared" si="38"/>
        <v>32363.8875</v>
      </c>
      <c r="K113" s="45">
        <f t="shared" si="39"/>
        <v>36906.1875</v>
      </c>
      <c r="L113" s="45">
        <f t="shared" si="40"/>
        <v>46054.57499999999</v>
      </c>
      <c r="M113" s="45">
        <f t="shared" si="41"/>
        <v>50992.19999999999</v>
      </c>
      <c r="N113" s="45">
        <f t="shared" si="42"/>
        <v>61226.54999999999</v>
      </c>
      <c r="O113" s="45">
        <f t="shared" si="43"/>
        <v>81945.675</v>
      </c>
      <c r="P113" s="45">
        <f t="shared" si="44"/>
        <v>99284.0625</v>
      </c>
      <c r="Q113" s="45">
        <f t="shared" si="45"/>
        <v>113232.2625</v>
      </c>
      <c r="R113" s="45">
        <f t="shared" si="46"/>
        <v>135220.05</v>
      </c>
    </row>
    <row r="114" spans="1:18" ht="12.75">
      <c r="A114" s="50">
        <v>55000</v>
      </c>
      <c r="B114" s="51">
        <v>0.81</v>
      </c>
      <c r="C114" s="51">
        <v>0.91</v>
      </c>
      <c r="D114" s="51">
        <v>1</v>
      </c>
      <c r="E114" s="51">
        <v>1.11</v>
      </c>
      <c r="F114" s="51">
        <v>1.2</v>
      </c>
      <c r="G114" s="48">
        <f t="shared" si="47"/>
        <v>111</v>
      </c>
      <c r="H114" s="45">
        <f t="shared" si="36"/>
        <v>7484.4</v>
      </c>
      <c r="I114" s="45">
        <f t="shared" si="37"/>
        <v>18393.375</v>
      </c>
      <c r="J114" s="45">
        <f t="shared" si="38"/>
        <v>32917.5</v>
      </c>
      <c r="K114" s="45">
        <f t="shared" si="39"/>
        <v>37537.5</v>
      </c>
      <c r="L114" s="45">
        <f t="shared" si="40"/>
        <v>46977.975</v>
      </c>
      <c r="M114" s="45">
        <f t="shared" si="41"/>
        <v>52014.600000000006</v>
      </c>
      <c r="N114" s="45">
        <f t="shared" si="42"/>
        <v>62454.15000000001</v>
      </c>
      <c r="O114" s="45">
        <f t="shared" si="43"/>
        <v>83754</v>
      </c>
      <c r="P114" s="45">
        <f t="shared" si="44"/>
        <v>101475</v>
      </c>
      <c r="Q114" s="45">
        <f t="shared" si="45"/>
        <v>115731</v>
      </c>
      <c r="R114" s="45">
        <f t="shared" si="46"/>
        <v>138204</v>
      </c>
    </row>
    <row r="115" spans="1:18" ht="12.75">
      <c r="A115" s="50">
        <v>57500</v>
      </c>
      <c r="B115" s="51">
        <v>0.79</v>
      </c>
      <c r="C115" s="51">
        <v>0.89</v>
      </c>
      <c r="D115" s="51">
        <v>0.98</v>
      </c>
      <c r="E115" s="51">
        <v>1.09</v>
      </c>
      <c r="F115" s="51">
        <v>1.18</v>
      </c>
      <c r="G115" s="48">
        <f t="shared" si="47"/>
        <v>112</v>
      </c>
      <c r="H115" s="45">
        <f t="shared" si="36"/>
        <v>7631.4</v>
      </c>
      <c r="I115" s="45">
        <f t="shared" si="37"/>
        <v>18806.8125</v>
      </c>
      <c r="J115" s="45">
        <f t="shared" si="38"/>
        <v>33725.475</v>
      </c>
      <c r="K115" s="45">
        <f t="shared" si="39"/>
        <v>38458.875</v>
      </c>
      <c r="L115" s="45">
        <f t="shared" si="40"/>
        <v>48228.4125</v>
      </c>
      <c r="M115" s="45">
        <f t="shared" si="41"/>
        <v>53399.100000000006</v>
      </c>
      <c r="N115" s="45">
        <f t="shared" si="42"/>
        <v>64116.52500000001</v>
      </c>
      <c r="O115" s="45">
        <f t="shared" si="43"/>
        <v>86101.65</v>
      </c>
      <c r="P115" s="45">
        <f t="shared" si="44"/>
        <v>104319.375</v>
      </c>
      <c r="Q115" s="45">
        <f t="shared" si="45"/>
        <v>118974.975</v>
      </c>
      <c r="R115" s="45">
        <f t="shared" si="46"/>
        <v>142077.9</v>
      </c>
    </row>
    <row r="116" spans="1:18" ht="12.75">
      <c r="A116" s="50">
        <v>60000</v>
      </c>
      <c r="B116" s="51">
        <v>0.77</v>
      </c>
      <c r="C116" s="51">
        <v>0.87</v>
      </c>
      <c r="D116" s="51">
        <v>0.96</v>
      </c>
      <c r="E116" s="51">
        <v>1.05</v>
      </c>
      <c r="F116" s="51">
        <v>1.15</v>
      </c>
      <c r="G116" s="48">
        <f t="shared" si="47"/>
        <v>113</v>
      </c>
      <c r="H116" s="45">
        <f t="shared" si="36"/>
        <v>7761.6</v>
      </c>
      <c r="I116" s="45">
        <f t="shared" si="37"/>
        <v>19183.5</v>
      </c>
      <c r="J116" s="45">
        <f t="shared" si="38"/>
        <v>34473.6</v>
      </c>
      <c r="K116" s="45">
        <f t="shared" si="39"/>
        <v>39312</v>
      </c>
      <c r="L116" s="45">
        <f t="shared" si="40"/>
        <v>48478.5</v>
      </c>
      <c r="M116" s="45">
        <f t="shared" si="41"/>
        <v>53676</v>
      </c>
      <c r="N116" s="45">
        <f t="shared" si="42"/>
        <v>64449</v>
      </c>
      <c r="O116" s="45">
        <f t="shared" si="43"/>
        <v>87561</v>
      </c>
      <c r="P116" s="45">
        <f t="shared" si="44"/>
        <v>106087.5</v>
      </c>
      <c r="Q116" s="45">
        <f t="shared" si="45"/>
        <v>120991.5</v>
      </c>
      <c r="R116" s="45">
        <f t="shared" si="46"/>
        <v>144486</v>
      </c>
    </row>
    <row r="117" spans="1:18" ht="12.75">
      <c r="A117" s="50">
        <v>62500</v>
      </c>
      <c r="B117" s="51">
        <v>0.76</v>
      </c>
      <c r="C117" s="51">
        <v>0.85</v>
      </c>
      <c r="D117" s="51">
        <v>0.94</v>
      </c>
      <c r="E117" s="51">
        <v>1.04</v>
      </c>
      <c r="F117" s="51">
        <v>1.13</v>
      </c>
      <c r="G117" s="48">
        <f t="shared" si="47"/>
        <v>114</v>
      </c>
      <c r="H117" s="45">
        <f t="shared" si="36"/>
        <v>7980</v>
      </c>
      <c r="I117" s="45">
        <f t="shared" si="37"/>
        <v>19523.4375</v>
      </c>
      <c r="J117" s="45">
        <f t="shared" si="38"/>
        <v>35161.875</v>
      </c>
      <c r="K117" s="45">
        <f t="shared" si="39"/>
        <v>40096.875</v>
      </c>
      <c r="L117" s="45">
        <f t="shared" si="40"/>
        <v>50017.5</v>
      </c>
      <c r="M117" s="45">
        <f t="shared" si="41"/>
        <v>55380</v>
      </c>
      <c r="N117" s="45">
        <f t="shared" si="42"/>
        <v>66495</v>
      </c>
      <c r="O117" s="45">
        <f t="shared" si="43"/>
        <v>89623.125</v>
      </c>
      <c r="P117" s="45">
        <f t="shared" si="44"/>
        <v>108585.9375</v>
      </c>
      <c r="Q117" s="45">
        <f t="shared" si="45"/>
        <v>123840.9375</v>
      </c>
      <c r="R117" s="45">
        <f t="shared" si="46"/>
        <v>147888.75</v>
      </c>
    </row>
    <row r="118" spans="1:18" ht="12.75">
      <c r="A118" s="50">
        <v>65000</v>
      </c>
      <c r="B118" s="51">
        <v>0.74</v>
      </c>
      <c r="C118" s="51">
        <v>0.84</v>
      </c>
      <c r="D118" s="51">
        <v>0.93</v>
      </c>
      <c r="E118" s="51">
        <v>1.02</v>
      </c>
      <c r="F118" s="51">
        <v>1.11</v>
      </c>
      <c r="G118" s="48">
        <f t="shared" si="47"/>
        <v>115</v>
      </c>
      <c r="H118" s="45">
        <f t="shared" si="36"/>
        <v>8080.8</v>
      </c>
      <c r="I118" s="45">
        <f t="shared" si="37"/>
        <v>20065.5</v>
      </c>
      <c r="J118" s="45">
        <f t="shared" si="38"/>
        <v>36179.325</v>
      </c>
      <c r="K118" s="45">
        <f t="shared" si="39"/>
        <v>41257.125</v>
      </c>
      <c r="L118" s="45">
        <f t="shared" si="40"/>
        <v>51017.85</v>
      </c>
      <c r="M118" s="45">
        <f t="shared" si="41"/>
        <v>56487.6</v>
      </c>
      <c r="N118" s="45">
        <f t="shared" si="42"/>
        <v>67824.9</v>
      </c>
      <c r="O118" s="45">
        <f t="shared" si="43"/>
        <v>91558.35</v>
      </c>
      <c r="P118" s="45">
        <f t="shared" si="44"/>
        <v>110930.625</v>
      </c>
      <c r="Q118" s="45">
        <f t="shared" si="45"/>
        <v>126515.025</v>
      </c>
      <c r="R118" s="45">
        <f t="shared" si="46"/>
        <v>151082.1</v>
      </c>
    </row>
    <row r="119" spans="1:18" ht="12.75">
      <c r="A119" s="50">
        <v>67500</v>
      </c>
      <c r="B119" s="51">
        <v>0.73</v>
      </c>
      <c r="C119" s="51">
        <v>0.82</v>
      </c>
      <c r="D119" s="51">
        <v>0.91</v>
      </c>
      <c r="E119" s="51">
        <v>1</v>
      </c>
      <c r="F119" s="51">
        <v>1.09</v>
      </c>
      <c r="G119" s="48">
        <f t="shared" si="47"/>
        <v>116</v>
      </c>
      <c r="H119" s="45">
        <f t="shared" si="36"/>
        <v>8278.2</v>
      </c>
      <c r="I119" s="45">
        <f t="shared" si="37"/>
        <v>20341.125</v>
      </c>
      <c r="J119" s="45">
        <f t="shared" si="38"/>
        <v>36762.8625</v>
      </c>
      <c r="K119" s="45">
        <f t="shared" si="39"/>
        <v>41922.5625</v>
      </c>
      <c r="L119" s="45">
        <f t="shared" si="40"/>
        <v>51941.25</v>
      </c>
      <c r="M119" s="45">
        <f t="shared" si="41"/>
        <v>57510</v>
      </c>
      <c r="N119" s="45">
        <f t="shared" si="42"/>
        <v>69052.5</v>
      </c>
      <c r="O119" s="45">
        <f t="shared" si="43"/>
        <v>93366.675</v>
      </c>
      <c r="P119" s="45">
        <f t="shared" si="44"/>
        <v>113121.5625</v>
      </c>
      <c r="Q119" s="45">
        <f t="shared" si="45"/>
        <v>129013.7625</v>
      </c>
      <c r="R119" s="45">
        <f t="shared" si="46"/>
        <v>154066.05</v>
      </c>
    </row>
    <row r="120" spans="1:18" ht="12.75">
      <c r="A120" s="50">
        <v>70000</v>
      </c>
      <c r="B120" s="51">
        <v>0.72</v>
      </c>
      <c r="C120" s="51">
        <v>0.81</v>
      </c>
      <c r="D120" s="51">
        <v>0.89</v>
      </c>
      <c r="E120" s="51">
        <v>0.98</v>
      </c>
      <c r="F120" s="51">
        <v>1.07</v>
      </c>
      <c r="G120" s="48">
        <f t="shared" si="47"/>
        <v>117</v>
      </c>
      <c r="H120" s="45">
        <f t="shared" si="36"/>
        <v>8467.2</v>
      </c>
      <c r="I120" s="45">
        <f t="shared" si="37"/>
        <v>20837.250000000004</v>
      </c>
      <c r="J120" s="45">
        <f t="shared" si="38"/>
        <v>37286.55</v>
      </c>
      <c r="K120" s="45">
        <f t="shared" si="39"/>
        <v>42519.75</v>
      </c>
      <c r="L120" s="45">
        <f t="shared" si="40"/>
        <v>52787.7</v>
      </c>
      <c r="M120" s="45">
        <f t="shared" si="41"/>
        <v>58447.2</v>
      </c>
      <c r="N120" s="45">
        <f t="shared" si="42"/>
        <v>70177.8</v>
      </c>
      <c r="O120" s="45">
        <f t="shared" si="43"/>
        <v>95048.1</v>
      </c>
      <c r="P120" s="45">
        <f t="shared" si="44"/>
        <v>115158.75</v>
      </c>
      <c r="Q120" s="45">
        <f t="shared" si="45"/>
        <v>131337.15</v>
      </c>
      <c r="R120" s="45">
        <f t="shared" si="46"/>
        <v>156840.6</v>
      </c>
    </row>
    <row r="121" spans="1:18" ht="12.75">
      <c r="A121" s="50">
        <v>72500</v>
      </c>
      <c r="B121" s="51">
        <v>0.7</v>
      </c>
      <c r="C121" s="51">
        <v>0.79</v>
      </c>
      <c r="D121" s="51">
        <v>0.88</v>
      </c>
      <c r="E121" s="51">
        <v>0.97</v>
      </c>
      <c r="F121" s="51">
        <v>1.05</v>
      </c>
      <c r="G121" s="48">
        <f t="shared" si="47"/>
        <v>118</v>
      </c>
      <c r="H121" s="45">
        <f t="shared" si="36"/>
        <v>8526</v>
      </c>
      <c r="I121" s="45">
        <f t="shared" si="37"/>
        <v>21048.5625</v>
      </c>
      <c r="J121" s="45">
        <f t="shared" si="38"/>
        <v>38184.3</v>
      </c>
      <c r="K121" s="45">
        <f t="shared" si="39"/>
        <v>43543.5</v>
      </c>
      <c r="L121" s="45">
        <f t="shared" si="40"/>
        <v>54115.0875</v>
      </c>
      <c r="M121" s="45">
        <f t="shared" si="41"/>
        <v>59916.9</v>
      </c>
      <c r="N121" s="45">
        <f t="shared" si="42"/>
        <v>71942.475</v>
      </c>
      <c r="O121" s="45">
        <f t="shared" si="43"/>
        <v>96602.625</v>
      </c>
      <c r="P121" s="45">
        <f t="shared" si="44"/>
        <v>117042.1875</v>
      </c>
      <c r="Q121" s="45">
        <f t="shared" si="45"/>
        <v>133485.1875</v>
      </c>
      <c r="R121" s="45">
        <f t="shared" si="46"/>
        <v>159405.75</v>
      </c>
    </row>
    <row r="122" spans="1:18" ht="12.75">
      <c r="A122" s="50">
        <v>75000</v>
      </c>
      <c r="B122" s="51">
        <v>0.69</v>
      </c>
      <c r="C122" s="51">
        <v>0.78</v>
      </c>
      <c r="D122" s="51">
        <v>0.86</v>
      </c>
      <c r="E122" s="51">
        <v>0.95</v>
      </c>
      <c r="F122" s="51">
        <v>1.03</v>
      </c>
      <c r="G122" s="48">
        <f t="shared" si="47"/>
        <v>119</v>
      </c>
      <c r="H122" s="45">
        <f t="shared" si="36"/>
        <v>8693.999999999998</v>
      </c>
      <c r="I122" s="45">
        <f t="shared" si="37"/>
        <v>21498.75</v>
      </c>
      <c r="J122" s="45">
        <f t="shared" si="38"/>
        <v>38603.25</v>
      </c>
      <c r="K122" s="45">
        <f t="shared" si="39"/>
        <v>44021.25</v>
      </c>
      <c r="L122" s="45">
        <f t="shared" si="40"/>
        <v>54826.875</v>
      </c>
      <c r="M122" s="45">
        <f t="shared" si="41"/>
        <v>60705</v>
      </c>
      <c r="N122" s="45">
        <f t="shared" si="42"/>
        <v>72888.75</v>
      </c>
      <c r="O122" s="45">
        <f t="shared" si="43"/>
        <v>98030.25</v>
      </c>
      <c r="P122" s="45">
        <f t="shared" si="44"/>
        <v>118771.875</v>
      </c>
      <c r="Q122" s="45">
        <f t="shared" si="45"/>
        <v>135457.875</v>
      </c>
      <c r="R122" s="45">
        <f t="shared" si="46"/>
        <v>161761.5</v>
      </c>
    </row>
    <row r="123" spans="1:18" ht="12.75">
      <c r="A123" s="50">
        <v>77500</v>
      </c>
      <c r="B123" s="51">
        <v>0.68</v>
      </c>
      <c r="C123" s="51">
        <v>0.77</v>
      </c>
      <c r="D123" s="51">
        <v>0.85</v>
      </c>
      <c r="E123" s="51">
        <v>0.93</v>
      </c>
      <c r="F123" s="51">
        <v>1.02</v>
      </c>
      <c r="G123" s="48">
        <f t="shared" si="47"/>
        <v>120</v>
      </c>
      <c r="H123" s="45">
        <f t="shared" si="36"/>
        <v>8853.6</v>
      </c>
      <c r="I123" s="45">
        <f t="shared" si="37"/>
        <v>21930.5625</v>
      </c>
      <c r="J123" s="45">
        <f t="shared" si="38"/>
        <v>39426.1875</v>
      </c>
      <c r="K123" s="45">
        <f t="shared" si="39"/>
        <v>44959.6875</v>
      </c>
      <c r="L123" s="45">
        <f t="shared" si="40"/>
        <v>55461.7125</v>
      </c>
      <c r="M123" s="45">
        <f t="shared" si="41"/>
        <v>61407.9</v>
      </c>
      <c r="N123" s="45">
        <f t="shared" si="42"/>
        <v>73732.725</v>
      </c>
      <c r="O123" s="45">
        <f t="shared" si="43"/>
        <v>100314.45</v>
      </c>
      <c r="P123" s="45">
        <f t="shared" si="44"/>
        <v>121539.375</v>
      </c>
      <c r="Q123" s="45">
        <f t="shared" si="45"/>
        <v>138614.175</v>
      </c>
      <c r="R123" s="45">
        <f t="shared" si="46"/>
        <v>165530.7</v>
      </c>
    </row>
    <row r="124" spans="1:18" ht="15" customHeight="1">
      <c r="A124" s="50">
        <v>80000</v>
      </c>
      <c r="B124" s="51">
        <v>0.67</v>
      </c>
      <c r="C124" s="51">
        <v>0.75</v>
      </c>
      <c r="D124" s="51">
        <v>0.83</v>
      </c>
      <c r="E124" s="51">
        <v>0.92</v>
      </c>
      <c r="F124" s="51">
        <v>1</v>
      </c>
      <c r="G124" s="48">
        <f t="shared" si="47"/>
        <v>121</v>
      </c>
      <c r="H124" s="45">
        <f t="shared" si="36"/>
        <v>9004.8</v>
      </c>
      <c r="I124" s="45">
        <f t="shared" si="37"/>
        <v>22050</v>
      </c>
      <c r="J124" s="45">
        <f t="shared" si="38"/>
        <v>39740.4</v>
      </c>
      <c r="K124" s="45">
        <f t="shared" si="39"/>
        <v>45318</v>
      </c>
      <c r="L124" s="45">
        <f t="shared" si="40"/>
        <v>56635.2</v>
      </c>
      <c r="M124" s="45">
        <f t="shared" si="41"/>
        <v>62707.2</v>
      </c>
      <c r="N124" s="45">
        <f t="shared" si="42"/>
        <v>75292.8</v>
      </c>
      <c r="O124" s="45">
        <f t="shared" si="43"/>
        <v>101520</v>
      </c>
      <c r="P124" s="45">
        <f t="shared" si="44"/>
        <v>123000</v>
      </c>
      <c r="Q124" s="45">
        <f t="shared" si="45"/>
        <v>140280</v>
      </c>
      <c r="R124" s="45">
        <f t="shared" si="46"/>
        <v>167520</v>
      </c>
    </row>
    <row r="125" spans="1:18" ht="12.75" customHeight="1" hidden="1">
      <c r="A125" s="54">
        <v>1000000</v>
      </c>
      <c r="B125" s="51">
        <v>0.67</v>
      </c>
      <c r="C125" s="51">
        <v>0.75</v>
      </c>
      <c r="D125" s="51">
        <v>0.83</v>
      </c>
      <c r="E125" s="51">
        <v>0.92</v>
      </c>
      <c r="F125" s="51">
        <v>1</v>
      </c>
      <c r="G125" s="48">
        <f t="shared" si="47"/>
        <v>122</v>
      </c>
      <c r="H125" s="45">
        <f t="shared" si="36"/>
        <v>112560</v>
      </c>
      <c r="I125" s="45">
        <f t="shared" si="37"/>
        <v>275625</v>
      </c>
      <c r="J125" s="45">
        <f t="shared" si="38"/>
        <v>496755</v>
      </c>
      <c r="K125" s="45">
        <f t="shared" si="39"/>
        <v>566475</v>
      </c>
      <c r="L125" s="45">
        <f t="shared" si="40"/>
        <v>707940</v>
      </c>
      <c r="M125" s="45">
        <f t="shared" si="41"/>
        <v>783840</v>
      </c>
      <c r="N125" s="45">
        <f t="shared" si="42"/>
        <v>941160</v>
      </c>
      <c r="O125" s="45">
        <f t="shared" si="43"/>
        <v>1269000</v>
      </c>
      <c r="P125" s="45">
        <f t="shared" si="44"/>
        <v>1537500</v>
      </c>
      <c r="Q125" s="45">
        <f t="shared" si="45"/>
        <v>1753500</v>
      </c>
      <c r="R125" s="45">
        <f t="shared" si="46"/>
        <v>2094000</v>
      </c>
    </row>
    <row r="126" spans="1:15" ht="9" customHeight="1">
      <c r="A126" s="54"/>
      <c r="B126" s="55"/>
      <c r="C126" s="55"/>
      <c r="D126" s="55"/>
      <c r="E126" s="55"/>
      <c r="F126" s="55"/>
      <c r="G126" s="56"/>
      <c r="H126" s="54"/>
      <c r="I126" s="54"/>
      <c r="J126" s="54"/>
      <c r="K126" s="54"/>
      <c r="L126" s="54"/>
      <c r="M126" s="54"/>
      <c r="N126" s="54"/>
      <c r="O126" s="54"/>
    </row>
    <row r="127" spans="1:16" ht="12.75">
      <c r="A127" s="26" t="s">
        <v>50</v>
      </c>
      <c r="D127"/>
      <c r="J127" s="63">
        <v>0.6</v>
      </c>
      <c r="K127" s="54"/>
      <c r="L127" s="54"/>
      <c r="M127" s="54"/>
      <c r="N127" s="54"/>
      <c r="O127" s="54"/>
      <c r="P127" s="54"/>
    </row>
    <row r="128" spans="1:17" ht="12.75">
      <c r="A128" s="26" t="s">
        <v>51</v>
      </c>
      <c r="D128"/>
      <c r="J128" s="63">
        <v>0.5</v>
      </c>
      <c r="K128" s="54"/>
      <c r="L128" s="54"/>
      <c r="M128" s="401" t="s">
        <v>69</v>
      </c>
      <c r="N128" s="401"/>
      <c r="O128" s="401"/>
      <c r="P128" s="403">
        <v>425</v>
      </c>
      <c r="Q128" s="403"/>
    </row>
    <row r="129" spans="1:16" ht="12.75">
      <c r="A129" s="26" t="s">
        <v>52</v>
      </c>
      <c r="D129"/>
      <c r="J129" s="63">
        <v>1</v>
      </c>
      <c r="K129" s="54"/>
      <c r="L129" s="54"/>
      <c r="M129" s="54"/>
      <c r="N129" s="54"/>
      <c r="O129" s="54"/>
      <c r="P129" s="54"/>
    </row>
    <row r="130" spans="1:17" ht="12.75">
      <c r="A130" s="26" t="s">
        <v>53</v>
      </c>
      <c r="D130"/>
      <c r="J130" s="63">
        <v>0.5</v>
      </c>
      <c r="K130" s="54"/>
      <c r="L130" s="54"/>
      <c r="M130" s="401" t="s">
        <v>70</v>
      </c>
      <c r="N130" s="401"/>
      <c r="O130" s="401"/>
      <c r="P130" s="70">
        <v>150</v>
      </c>
      <c r="Q130" s="71" t="s">
        <v>71</v>
      </c>
    </row>
    <row r="131" spans="1:17" ht="12.75">
      <c r="A131" s="66" t="s">
        <v>72</v>
      </c>
      <c r="M131" s="27"/>
      <c r="N131" s="27"/>
      <c r="O131" s="27"/>
      <c r="P131" s="67"/>
      <c r="Q131" s="67"/>
    </row>
    <row r="132" spans="1:19" ht="12.75">
      <c r="A132" s="26" t="s">
        <v>56</v>
      </c>
      <c r="K132" s="68">
        <v>1</v>
      </c>
      <c r="L132" s="74"/>
      <c r="M132" s="26"/>
      <c r="N132" s="27"/>
      <c r="O132" s="27"/>
      <c r="P132" s="27"/>
      <c r="Q132" s="67"/>
      <c r="R132" s="27"/>
      <c r="S132" s="28"/>
    </row>
    <row r="133" spans="1:20" ht="12.75">
      <c r="A133" s="26" t="s">
        <v>57</v>
      </c>
      <c r="K133" s="68">
        <v>0.5</v>
      </c>
      <c r="L133" s="67"/>
      <c r="M133" s="26"/>
      <c r="N133" s="27"/>
      <c r="O133" s="27"/>
      <c r="P133" s="27"/>
      <c r="Q133" s="67"/>
      <c r="S133" s="27"/>
      <c r="T133" s="28"/>
    </row>
    <row r="134" spans="1:20" ht="12.75">
      <c r="A134" s="26" t="s">
        <v>58</v>
      </c>
      <c r="K134" s="68">
        <v>0.25</v>
      </c>
      <c r="M134" s="26"/>
      <c r="N134" s="27"/>
      <c r="O134" s="27"/>
      <c r="P134" s="27"/>
      <c r="Q134" s="67"/>
      <c r="R134" s="67"/>
      <c r="S134" s="27"/>
      <c r="T134" s="28"/>
    </row>
    <row r="135" spans="1:20" ht="12.75">
      <c r="A135" s="26" t="s">
        <v>59</v>
      </c>
      <c r="K135" s="68">
        <v>0.15</v>
      </c>
      <c r="L135" t="s">
        <v>60</v>
      </c>
      <c r="M135" s="26"/>
      <c r="Q135" s="67"/>
      <c r="S135" s="27"/>
      <c r="T135" s="28"/>
    </row>
    <row r="136" spans="1:8" ht="12.75">
      <c r="A136" s="66" t="s">
        <v>73</v>
      </c>
      <c r="B136" s="75"/>
      <c r="C136" s="76"/>
      <c r="D136" s="75"/>
      <c r="E136" s="75"/>
      <c r="F136" s="77"/>
      <c r="G136" s="66" t="s">
        <v>73</v>
      </c>
      <c r="H136" s="75"/>
    </row>
    <row r="137" spans="1:9" ht="12.75">
      <c r="A137" s="74" t="s">
        <v>74</v>
      </c>
      <c r="C137" s="75"/>
      <c r="D137" s="76"/>
      <c r="E137" s="75"/>
      <c r="F137" s="75"/>
      <c r="G137" s="77"/>
      <c r="H137" s="76"/>
      <c r="I137" s="75"/>
    </row>
    <row r="138" spans="1:9" ht="12.75">
      <c r="A138" s="78"/>
      <c r="B138" s="75"/>
      <c r="C138" s="75"/>
      <c r="D138" s="76"/>
      <c r="E138" s="75"/>
      <c r="F138" s="75"/>
      <c r="G138" s="77"/>
      <c r="H138" s="76"/>
      <c r="I138" s="75"/>
    </row>
    <row r="139" spans="1:9" ht="12.75">
      <c r="A139" s="78"/>
      <c r="B139" s="75"/>
      <c r="C139" s="75"/>
      <c r="D139" s="76"/>
      <c r="E139" s="75"/>
      <c r="F139" s="75"/>
      <c r="G139" s="77"/>
      <c r="H139" s="76"/>
      <c r="I139" s="75"/>
    </row>
  </sheetData>
  <mergeCells count="3">
    <mergeCell ref="M128:O128"/>
    <mergeCell ref="P128:Q128"/>
    <mergeCell ref="M130:O130"/>
  </mergeCells>
  <printOptions/>
  <pageMargins left="0.6694444444444445" right="0.15763888888888888" top="0.9847222222222223" bottom="0.5097222222222222" header="0.4902777777777778" footer="0.11805555555555557"/>
  <pageSetup horizontalDpi="300" verticalDpi="300" orientation="portrait" paperSize="9" scale="85"/>
  <headerFooter alignWithMargins="0">
    <oddHeader>&amp;CTMMOB MAKİNA MÜHENDİSLERİ ODASI EDİRNE ŞUBESİ ETKİNLİK ALANINDA
01.07.2007-31.12.2007 TARİHLERİ  ARASINDA UYGULANACAK TESİSAT MÜHENDİSLİĞİ PROJE HİZMETLERİ ve TEKNİK UYGULAMA SORUMLULUĞU HİZMETLERİ ASGARİ ÜCRETLERİ</oddHeader>
    <oddFooter>&amp;CSayfa  &amp;P  /  &amp;N</oddFooter>
  </headerFooter>
</worksheet>
</file>

<file path=xl/worksheets/sheet6.xml><?xml version="1.0" encoding="utf-8"?>
<worksheet xmlns="http://schemas.openxmlformats.org/spreadsheetml/2006/main" xmlns:r="http://schemas.openxmlformats.org/officeDocument/2006/relationships">
  <dimension ref="A2:L25"/>
  <sheetViews>
    <sheetView showZeros="0" workbookViewId="0" topLeftCell="A1">
      <selection activeCell="G18" sqref="G18"/>
    </sheetView>
  </sheetViews>
  <sheetFormatPr defaultColWidth="9.140625" defaultRowHeight="12.75"/>
  <cols>
    <col min="1" max="1" width="7.57421875" style="26" customWidth="1"/>
    <col min="2" max="2" width="8.00390625" style="26" customWidth="1"/>
    <col min="3" max="7" width="11.421875" style="27" customWidth="1"/>
    <col min="8" max="8" width="11.421875" style="28" customWidth="1"/>
    <col min="9" max="12" width="11.421875" style="0" customWidth="1"/>
    <col min="13" max="16384" width="9.00390625" style="0" customWidth="1"/>
  </cols>
  <sheetData>
    <row r="2" spans="1:12" ht="39.75" customHeight="1">
      <c r="A2" s="79"/>
      <c r="B2" s="80" t="s">
        <v>75</v>
      </c>
      <c r="C2" s="81" t="s">
        <v>76</v>
      </c>
      <c r="D2" s="82" t="s">
        <v>77</v>
      </c>
      <c r="E2" s="82" t="s">
        <v>78</v>
      </c>
      <c r="F2" s="82" t="s">
        <v>79</v>
      </c>
      <c r="G2" s="82" t="s">
        <v>80</v>
      </c>
      <c r="H2" s="82" t="s">
        <v>81</v>
      </c>
      <c r="I2" s="82" t="s">
        <v>82</v>
      </c>
      <c r="J2" s="82" t="s">
        <v>83</v>
      </c>
      <c r="K2" s="82" t="s">
        <v>84</v>
      </c>
      <c r="L2" s="82" t="s">
        <v>85</v>
      </c>
    </row>
    <row r="3" spans="1:12" s="41" customFormat="1" ht="24.75" customHeight="1">
      <c r="A3" s="83" t="s">
        <v>86</v>
      </c>
      <c r="B3" s="84"/>
      <c r="C3" s="85">
        <v>1</v>
      </c>
      <c r="D3" s="86">
        <v>2</v>
      </c>
      <c r="E3" s="86">
        <v>3</v>
      </c>
      <c r="F3" s="86">
        <v>4</v>
      </c>
      <c r="G3" s="86">
        <v>5</v>
      </c>
      <c r="H3" s="85">
        <v>6</v>
      </c>
      <c r="I3" s="87">
        <v>7</v>
      </c>
      <c r="J3" s="86">
        <v>8</v>
      </c>
      <c r="K3" s="86">
        <v>9</v>
      </c>
      <c r="L3" s="86">
        <v>10</v>
      </c>
    </row>
    <row r="4" spans="1:12" ht="30" customHeight="1">
      <c r="A4" s="88">
        <v>1</v>
      </c>
      <c r="B4" s="89">
        <v>1</v>
      </c>
      <c r="C4" s="90">
        <v>5</v>
      </c>
      <c r="D4" s="91">
        <v>6</v>
      </c>
      <c r="E4" s="91">
        <v>7</v>
      </c>
      <c r="F4" s="91">
        <v>9</v>
      </c>
      <c r="G4" s="91">
        <v>10</v>
      </c>
      <c r="H4" s="91">
        <v>11</v>
      </c>
      <c r="I4" s="91">
        <v>12</v>
      </c>
      <c r="J4" s="91">
        <v>13</v>
      </c>
      <c r="K4" s="91">
        <v>14</v>
      </c>
      <c r="L4" s="91">
        <v>15</v>
      </c>
    </row>
    <row r="5" spans="1:12" ht="30" customHeight="1">
      <c r="A5" s="88">
        <v>2</v>
      </c>
      <c r="B5" s="92">
        <v>2</v>
      </c>
      <c r="C5" s="93">
        <v>7</v>
      </c>
      <c r="D5" s="94">
        <v>9</v>
      </c>
      <c r="E5" s="94">
        <v>11</v>
      </c>
      <c r="F5" s="94">
        <v>12</v>
      </c>
      <c r="G5" s="94">
        <v>13</v>
      </c>
      <c r="H5" s="94">
        <v>14</v>
      </c>
      <c r="I5" s="94">
        <v>15</v>
      </c>
      <c r="J5" s="94">
        <v>16</v>
      </c>
      <c r="K5" s="94">
        <v>16</v>
      </c>
      <c r="L5" s="94">
        <v>17</v>
      </c>
    </row>
    <row r="6" spans="1:12" s="49" customFormat="1" ht="30" customHeight="1">
      <c r="A6" s="95">
        <v>3</v>
      </c>
      <c r="B6" s="96">
        <v>3</v>
      </c>
      <c r="C6" s="90">
        <v>8</v>
      </c>
      <c r="D6" s="91">
        <v>10</v>
      </c>
      <c r="E6" s="91">
        <v>12</v>
      </c>
      <c r="F6" s="91">
        <v>13</v>
      </c>
      <c r="G6" s="91">
        <v>14</v>
      </c>
      <c r="H6" s="91">
        <v>15</v>
      </c>
      <c r="I6" s="91">
        <v>16</v>
      </c>
      <c r="J6" s="91">
        <v>17</v>
      </c>
      <c r="K6" s="91">
        <v>18</v>
      </c>
      <c r="L6" s="91">
        <v>19</v>
      </c>
    </row>
    <row r="7" spans="1:12" s="49" customFormat="1" ht="30" customHeight="1">
      <c r="A7" s="88">
        <v>4</v>
      </c>
      <c r="B7" s="92">
        <v>4</v>
      </c>
      <c r="C7" s="90">
        <v>9</v>
      </c>
      <c r="D7" s="91">
        <v>11</v>
      </c>
      <c r="E7" s="91">
        <v>13</v>
      </c>
      <c r="F7" s="91">
        <v>15</v>
      </c>
      <c r="G7" s="91">
        <v>16</v>
      </c>
      <c r="H7" s="91">
        <v>17</v>
      </c>
      <c r="I7" s="91">
        <v>18</v>
      </c>
      <c r="J7" s="91">
        <v>19</v>
      </c>
      <c r="K7" s="91">
        <v>20</v>
      </c>
      <c r="L7" s="91">
        <v>21</v>
      </c>
    </row>
    <row r="8" spans="1:12" s="49" customFormat="1" ht="30" customHeight="1">
      <c r="A8" s="88">
        <v>5</v>
      </c>
      <c r="B8" s="92">
        <v>5</v>
      </c>
      <c r="C8" s="90">
        <v>10</v>
      </c>
      <c r="D8" s="91">
        <v>12</v>
      </c>
      <c r="E8" s="91">
        <v>15</v>
      </c>
      <c r="F8" s="91">
        <v>17</v>
      </c>
      <c r="G8" s="91">
        <v>18</v>
      </c>
      <c r="H8" s="91">
        <v>19</v>
      </c>
      <c r="I8" s="91">
        <v>20</v>
      </c>
      <c r="J8" s="91">
        <v>21</v>
      </c>
      <c r="K8" s="91">
        <v>22</v>
      </c>
      <c r="L8" s="91">
        <v>23</v>
      </c>
    </row>
    <row r="9" spans="1:12" s="49" customFormat="1" ht="30" customHeight="1">
      <c r="A9" s="88">
        <v>6</v>
      </c>
      <c r="B9" s="92">
        <v>6</v>
      </c>
      <c r="C9" s="90">
        <v>11</v>
      </c>
      <c r="D9" s="91">
        <v>13</v>
      </c>
      <c r="E9" s="91">
        <v>16</v>
      </c>
      <c r="F9" s="91">
        <v>19</v>
      </c>
      <c r="G9" s="91">
        <v>20</v>
      </c>
      <c r="H9" s="91">
        <v>21</v>
      </c>
      <c r="I9" s="91">
        <v>22</v>
      </c>
      <c r="J9" s="91">
        <v>23</v>
      </c>
      <c r="K9" s="91">
        <v>24</v>
      </c>
      <c r="L9" s="91">
        <v>25</v>
      </c>
    </row>
    <row r="10" spans="1:12" ht="30" customHeight="1">
      <c r="A10" s="88">
        <v>7</v>
      </c>
      <c r="B10" s="92">
        <v>7</v>
      </c>
      <c r="C10" s="93">
        <v>12</v>
      </c>
      <c r="D10" s="94">
        <v>14</v>
      </c>
      <c r="E10" s="94">
        <v>17</v>
      </c>
      <c r="F10" s="94">
        <v>20</v>
      </c>
      <c r="G10" s="94">
        <v>22</v>
      </c>
      <c r="H10" s="94">
        <v>23</v>
      </c>
      <c r="I10" s="94">
        <v>24</v>
      </c>
      <c r="J10" s="94">
        <v>25</v>
      </c>
      <c r="K10" s="94">
        <v>26</v>
      </c>
      <c r="L10" s="94">
        <v>27</v>
      </c>
    </row>
    <row r="11" spans="1:12" ht="30" customHeight="1">
      <c r="A11" s="88">
        <v>8</v>
      </c>
      <c r="B11" s="92">
        <v>8</v>
      </c>
      <c r="C11" s="90">
        <v>13</v>
      </c>
      <c r="D11" s="91">
        <v>15</v>
      </c>
      <c r="E11" s="91">
        <v>18</v>
      </c>
      <c r="F11" s="91">
        <v>21</v>
      </c>
      <c r="G11" s="91">
        <v>23</v>
      </c>
      <c r="H11" s="91">
        <v>25</v>
      </c>
      <c r="I11" s="91">
        <v>26</v>
      </c>
      <c r="J11" s="91">
        <v>27</v>
      </c>
      <c r="K11" s="91">
        <v>28</v>
      </c>
      <c r="L11" s="91">
        <v>29</v>
      </c>
    </row>
    <row r="12" spans="1:12" ht="30" customHeight="1">
      <c r="A12" s="88">
        <v>9</v>
      </c>
      <c r="B12" s="92">
        <v>9</v>
      </c>
      <c r="C12" s="90">
        <v>14</v>
      </c>
      <c r="D12" s="91">
        <v>16</v>
      </c>
      <c r="E12" s="91">
        <v>19</v>
      </c>
      <c r="F12" s="91">
        <v>22</v>
      </c>
      <c r="G12" s="91">
        <v>24</v>
      </c>
      <c r="H12" s="91">
        <v>26</v>
      </c>
      <c r="I12" s="91">
        <v>28</v>
      </c>
      <c r="J12" s="91">
        <v>29</v>
      </c>
      <c r="K12" s="91">
        <v>30</v>
      </c>
      <c r="L12" s="91">
        <v>31</v>
      </c>
    </row>
    <row r="13" spans="1:12" ht="30" customHeight="1">
      <c r="A13" s="88">
        <v>10</v>
      </c>
      <c r="B13" s="92">
        <v>10</v>
      </c>
      <c r="C13" s="90">
        <v>15</v>
      </c>
      <c r="D13" s="91">
        <v>17</v>
      </c>
      <c r="E13" s="91">
        <v>20</v>
      </c>
      <c r="F13" s="91">
        <v>23</v>
      </c>
      <c r="G13" s="91">
        <v>25</v>
      </c>
      <c r="H13" s="91">
        <v>27</v>
      </c>
      <c r="I13" s="91">
        <v>29</v>
      </c>
      <c r="J13" s="91">
        <v>31</v>
      </c>
      <c r="K13" s="91">
        <v>32</v>
      </c>
      <c r="L13" s="91">
        <v>33</v>
      </c>
    </row>
    <row r="14" spans="1:12" ht="30" customHeight="1">
      <c r="A14" s="88">
        <v>11</v>
      </c>
      <c r="B14" s="92">
        <v>11</v>
      </c>
      <c r="C14" s="90">
        <v>16</v>
      </c>
      <c r="D14" s="91">
        <v>18</v>
      </c>
      <c r="E14" s="91">
        <v>21</v>
      </c>
      <c r="F14" s="91">
        <v>24</v>
      </c>
      <c r="G14" s="91">
        <v>26</v>
      </c>
      <c r="H14" s="91">
        <v>28</v>
      </c>
      <c r="I14" s="91">
        <v>30</v>
      </c>
      <c r="J14" s="91">
        <v>32</v>
      </c>
      <c r="K14" s="91">
        <v>34</v>
      </c>
      <c r="L14" s="91">
        <v>35</v>
      </c>
    </row>
    <row r="15" spans="1:12" ht="30.75" customHeight="1">
      <c r="A15" s="88">
        <v>12</v>
      </c>
      <c r="B15" s="92">
        <v>12</v>
      </c>
      <c r="C15" s="90">
        <v>17</v>
      </c>
      <c r="D15" s="91">
        <v>19</v>
      </c>
      <c r="E15" s="91">
        <v>22</v>
      </c>
      <c r="F15" s="91">
        <v>25</v>
      </c>
      <c r="G15" s="91">
        <v>27</v>
      </c>
      <c r="H15" s="91">
        <v>29</v>
      </c>
      <c r="I15" s="91">
        <v>31</v>
      </c>
      <c r="J15" s="91">
        <v>33</v>
      </c>
      <c r="K15" s="91">
        <v>35</v>
      </c>
      <c r="L15" s="91">
        <v>37</v>
      </c>
    </row>
    <row r="16" spans="1:8" ht="12.75">
      <c r="A16" s="54"/>
      <c r="B16" s="54"/>
      <c r="C16" s="55"/>
      <c r="D16" s="55"/>
      <c r="E16" s="55"/>
      <c r="F16" s="55"/>
      <c r="G16" s="55"/>
      <c r="H16" s="56"/>
    </row>
    <row r="17" spans="5:9" ht="12.75">
      <c r="E17" s="27" t="s">
        <v>87</v>
      </c>
      <c r="G17" s="27">
        <f>'ASGARİ ÜCRET FORMU'!F21/SÖZLEŞME!K27</f>
        <v>125</v>
      </c>
      <c r="H17" s="28" t="s">
        <v>88</v>
      </c>
      <c r="I17">
        <f>IF(G17&gt;1000,((G17-1000)/100),0)</f>
        <v>0</v>
      </c>
    </row>
    <row r="18" spans="8:9" ht="12.75">
      <c r="H18" s="28" t="s">
        <v>89</v>
      </c>
      <c r="I18">
        <f>ROUNDUP(I17,0)</f>
        <v>0</v>
      </c>
    </row>
    <row r="19" spans="6:9" ht="12.75">
      <c r="F19" s="27" t="s">
        <v>90</v>
      </c>
      <c r="G19">
        <f>IF(G17&lt;101,1,IF(G17&lt;201,2,IF(G17&lt;301,3,IF(G17&lt;401,4,IF(G17&lt;501,5,0)))))</f>
        <v>2</v>
      </c>
      <c r="H19" s="28" t="s">
        <v>90</v>
      </c>
      <c r="I19">
        <f>IF(G17&lt;501,0,IF(G17&lt;601,6,IF(G17&lt;701,7,IF(G17&lt;801,8,IF(G17&lt;901,9,10)))))</f>
        <v>0</v>
      </c>
    </row>
    <row r="20" spans="6:7" ht="12.75">
      <c r="F20" s="27" t="s">
        <v>91</v>
      </c>
      <c r="G20" s="28">
        <f>IF(G19&gt;0,G19,I19)</f>
        <v>2</v>
      </c>
    </row>
    <row r="21" spans="5:7" ht="12.75">
      <c r="E21" s="27" t="s">
        <v>92</v>
      </c>
      <c r="G21" s="28">
        <f>SÖZLEŞME!K27</f>
        <v>2</v>
      </c>
    </row>
    <row r="22" spans="4:8" ht="12.75">
      <c r="D22" s="27" t="s">
        <v>93</v>
      </c>
      <c r="G22" s="97">
        <f>VLOOKUP(G21,B3:L15,G20+1)+I18</f>
        <v>9</v>
      </c>
      <c r="H22" s="56"/>
    </row>
    <row r="23" spans="4:8" ht="12.75">
      <c r="D23" s="27" t="s">
        <v>94</v>
      </c>
      <c r="G23" s="97">
        <f>IF(G21&lt;12,G22,(G21-12)+G22)</f>
        <v>9</v>
      </c>
      <c r="H23" s="56"/>
    </row>
    <row r="25" ht="12.75">
      <c r="G25" s="98"/>
    </row>
  </sheetData>
  <printOptions/>
  <pageMargins left="0.39375" right="0.39375" top="0.39375" bottom="0.39375" header="0.5118055555555556" footer="0.5118055555555556"/>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U54"/>
  <sheetViews>
    <sheetView showZeros="0" workbookViewId="0" topLeftCell="A1">
      <selection activeCell="U53" sqref="U53"/>
    </sheetView>
  </sheetViews>
  <sheetFormatPr defaultColWidth="9.140625" defaultRowHeight="12.75"/>
  <cols>
    <col min="1" max="1" width="0.85546875" style="0" customWidth="1"/>
    <col min="2" max="2" width="10.28125" style="0" customWidth="1"/>
    <col min="3" max="3" width="2.00390625" style="0" customWidth="1"/>
    <col min="4" max="6" width="2.57421875" style="0" customWidth="1"/>
    <col min="7" max="7" width="8.421875" style="0" customWidth="1"/>
    <col min="8" max="8" width="6.8515625" style="0" customWidth="1"/>
    <col min="9" max="9" width="4.8515625" style="0" customWidth="1"/>
    <col min="10" max="10" width="1.1484375" style="0" customWidth="1"/>
    <col min="11" max="11" width="6.57421875" style="0" customWidth="1"/>
    <col min="12" max="12" width="4.8515625" style="0" customWidth="1"/>
    <col min="13" max="14" width="7.00390625" style="0" customWidth="1"/>
    <col min="15" max="15" width="4.8515625" style="0" customWidth="1"/>
    <col min="16" max="16" width="2.140625" style="0" customWidth="1"/>
    <col min="17" max="17" width="3.28125" style="0" customWidth="1"/>
    <col min="18" max="18" width="2.28125" style="0" customWidth="1"/>
    <col min="19" max="19" width="6.00390625" style="0" customWidth="1"/>
    <col min="20" max="20" width="5.421875" style="0" customWidth="1"/>
    <col min="21" max="21" width="0.9921875" style="0" customWidth="1"/>
    <col min="22" max="22" width="1.8515625" style="0" customWidth="1"/>
    <col min="23" max="16384" width="9.00390625" style="0" customWidth="1"/>
  </cols>
  <sheetData>
    <row r="1" spans="1:21" ht="4.5" customHeight="1">
      <c r="A1" s="1"/>
      <c r="B1" s="2"/>
      <c r="C1" s="2"/>
      <c r="D1" s="2"/>
      <c r="E1" s="2"/>
      <c r="F1" s="2"/>
      <c r="G1" s="2"/>
      <c r="H1" s="2"/>
      <c r="I1" s="2"/>
      <c r="J1" s="2"/>
      <c r="K1" s="2"/>
      <c r="L1" s="2"/>
      <c r="M1" s="2"/>
      <c r="N1" s="2"/>
      <c r="O1" s="2"/>
      <c r="P1" s="2"/>
      <c r="Q1" s="2"/>
      <c r="R1" s="2"/>
      <c r="S1" s="2"/>
      <c r="T1" s="2"/>
      <c r="U1" s="3"/>
    </row>
    <row r="2" spans="1:21" ht="18">
      <c r="A2" s="4"/>
      <c r="B2" s="404" t="s">
        <v>95</v>
      </c>
      <c r="C2" s="404"/>
      <c r="D2" s="404"/>
      <c r="E2" s="404"/>
      <c r="F2" s="404"/>
      <c r="G2" s="404"/>
      <c r="H2" s="404"/>
      <c r="I2" s="404"/>
      <c r="J2" s="404"/>
      <c r="K2" s="404"/>
      <c r="L2" s="404"/>
      <c r="M2" s="404"/>
      <c r="N2" s="404"/>
      <c r="O2" s="404"/>
      <c r="P2" s="404"/>
      <c r="Q2" s="404"/>
      <c r="R2" s="404"/>
      <c r="S2" s="404"/>
      <c r="T2" s="404"/>
      <c r="U2" s="5"/>
    </row>
    <row r="3" spans="1:21" ht="18">
      <c r="A3" s="4"/>
      <c r="B3" s="99"/>
      <c r="C3" s="100"/>
      <c r="D3" s="100"/>
      <c r="E3" s="100"/>
      <c r="F3" s="100"/>
      <c r="G3" s="100"/>
      <c r="H3" s="100"/>
      <c r="I3" s="100"/>
      <c r="J3" s="100"/>
      <c r="K3" s="100"/>
      <c r="L3" s="100"/>
      <c r="M3" s="100"/>
      <c r="N3" s="100"/>
      <c r="O3" s="100"/>
      <c r="P3" s="100"/>
      <c r="Q3" s="100"/>
      <c r="R3" s="100"/>
      <c r="S3" s="100"/>
      <c r="T3" s="101"/>
      <c r="U3" s="5"/>
    </row>
    <row r="4" spans="1:21" ht="18" customHeight="1">
      <c r="A4" s="4"/>
      <c r="B4" s="102"/>
      <c r="C4" s="103"/>
      <c r="D4" s="103"/>
      <c r="E4" s="103"/>
      <c r="F4" s="103"/>
      <c r="G4" s="17"/>
      <c r="H4" s="17"/>
      <c r="I4" s="17"/>
      <c r="J4" s="17"/>
      <c r="K4" s="17"/>
      <c r="L4" s="17"/>
      <c r="M4" s="17"/>
      <c r="N4" s="17"/>
      <c r="O4" s="103"/>
      <c r="P4" s="103"/>
      <c r="Q4" s="103"/>
      <c r="R4" s="103"/>
      <c r="S4" s="103"/>
      <c r="T4" s="104"/>
      <c r="U4" s="5"/>
    </row>
    <row r="5" spans="1:21" ht="14.25" customHeight="1">
      <c r="A5" s="4"/>
      <c r="B5" s="102"/>
      <c r="C5" s="103"/>
      <c r="D5" s="103"/>
      <c r="G5" s="17"/>
      <c r="H5" s="17"/>
      <c r="I5" s="17"/>
      <c r="J5" s="17"/>
      <c r="K5" s="17"/>
      <c r="L5" s="17"/>
      <c r="M5" s="17"/>
      <c r="N5" s="17"/>
      <c r="O5" s="103"/>
      <c r="P5" s="103"/>
      <c r="Q5" s="103"/>
      <c r="R5" s="103"/>
      <c r="S5" s="103"/>
      <c r="T5" s="104"/>
      <c r="U5" s="5"/>
    </row>
    <row r="6" spans="1:21" ht="14.25" customHeight="1">
      <c r="A6" s="4"/>
      <c r="B6" s="105"/>
      <c r="C6" s="20"/>
      <c r="F6" s="20"/>
      <c r="G6" s="17"/>
      <c r="H6" s="17"/>
      <c r="I6" s="17"/>
      <c r="J6" s="17"/>
      <c r="K6" s="17"/>
      <c r="L6" s="17"/>
      <c r="M6" s="17"/>
      <c r="N6" s="17"/>
      <c r="O6" s="20"/>
      <c r="P6" s="20"/>
      <c r="Q6" s="20"/>
      <c r="R6" s="20"/>
      <c r="S6" s="20"/>
      <c r="T6" s="106"/>
      <c r="U6" s="5"/>
    </row>
    <row r="7" spans="1:21" ht="12.75" customHeight="1">
      <c r="A7" s="4"/>
      <c r="B7" s="105"/>
      <c r="C7" s="20"/>
      <c r="D7" s="20"/>
      <c r="E7" s="20"/>
      <c r="F7" s="20"/>
      <c r="G7" s="20"/>
      <c r="H7" s="20"/>
      <c r="I7" s="20"/>
      <c r="J7" s="20"/>
      <c r="K7" s="20"/>
      <c r="L7" s="20"/>
      <c r="M7" s="20"/>
      <c r="N7" s="20"/>
      <c r="O7" s="20"/>
      <c r="P7" s="20"/>
      <c r="Q7" s="20"/>
      <c r="R7" s="20"/>
      <c r="S7" s="20"/>
      <c r="T7" s="106"/>
      <c r="U7" s="5"/>
    </row>
    <row r="8" spans="1:21" ht="14.25" customHeight="1">
      <c r="A8" s="4"/>
      <c r="B8" s="107"/>
      <c r="C8" s="20"/>
      <c r="F8" s="11"/>
      <c r="G8" s="19"/>
      <c r="H8" s="19"/>
      <c r="I8" s="19"/>
      <c r="J8" s="19"/>
      <c r="K8" s="19"/>
      <c r="L8" s="19"/>
      <c r="M8" s="19"/>
      <c r="N8" s="19"/>
      <c r="O8" s="19"/>
      <c r="P8" s="19"/>
      <c r="Q8" s="11"/>
      <c r="R8" s="11"/>
      <c r="S8" s="11"/>
      <c r="T8" s="108"/>
      <c r="U8" s="5"/>
    </row>
    <row r="9" spans="1:21" ht="14.25" customHeight="1">
      <c r="A9" s="4"/>
      <c r="B9" s="107"/>
      <c r="C9" s="20"/>
      <c r="D9" s="11"/>
      <c r="G9" s="19"/>
      <c r="H9" s="19"/>
      <c r="I9" s="19"/>
      <c r="J9" s="19"/>
      <c r="K9" s="19"/>
      <c r="L9" s="19"/>
      <c r="M9" s="19"/>
      <c r="N9" s="19"/>
      <c r="O9" s="19"/>
      <c r="P9" s="19"/>
      <c r="Q9" s="11"/>
      <c r="R9" s="11"/>
      <c r="S9" s="11"/>
      <c r="T9" s="108"/>
      <c r="U9" s="5"/>
    </row>
    <row r="10" spans="1:21" ht="12.75" customHeight="1">
      <c r="A10" s="4"/>
      <c r="B10" s="107"/>
      <c r="C10" s="11"/>
      <c r="D10" s="11"/>
      <c r="E10" s="11"/>
      <c r="F10" s="11"/>
      <c r="G10" s="11"/>
      <c r="H10" s="20"/>
      <c r="I10" s="11"/>
      <c r="J10" s="11"/>
      <c r="K10" s="11"/>
      <c r="L10" s="11"/>
      <c r="M10" s="11"/>
      <c r="N10" s="11"/>
      <c r="O10" s="11"/>
      <c r="P10" s="11"/>
      <c r="Q10" s="11"/>
      <c r="R10" s="11"/>
      <c r="S10" s="11"/>
      <c r="T10" s="108"/>
      <c r="U10" s="5"/>
    </row>
    <row r="11" spans="1:21" ht="14.25">
      <c r="A11" s="4"/>
      <c r="B11" s="107"/>
      <c r="C11" s="11"/>
      <c r="D11" s="11"/>
      <c r="E11" s="11"/>
      <c r="F11" s="11"/>
      <c r="G11" s="20"/>
      <c r="H11" s="20"/>
      <c r="I11" s="11"/>
      <c r="J11" s="11"/>
      <c r="K11" s="11"/>
      <c r="L11" s="11"/>
      <c r="M11" s="11"/>
      <c r="N11" s="11"/>
      <c r="O11" s="11"/>
      <c r="P11" s="11"/>
      <c r="Q11" s="11"/>
      <c r="R11" s="11"/>
      <c r="S11" s="11"/>
      <c r="T11" s="108"/>
      <c r="U11" s="5"/>
    </row>
    <row r="12" spans="1:21" ht="14.25">
      <c r="A12" s="4"/>
      <c r="B12" s="107"/>
      <c r="C12" s="11"/>
      <c r="D12" s="11"/>
      <c r="E12" s="11"/>
      <c r="F12" s="11"/>
      <c r="G12" s="21"/>
      <c r="H12" s="21"/>
      <c r="I12" s="11"/>
      <c r="J12" s="11"/>
      <c r="K12" s="11"/>
      <c r="L12" s="11"/>
      <c r="M12" s="11"/>
      <c r="N12" s="11"/>
      <c r="O12" s="11"/>
      <c r="P12" s="11"/>
      <c r="Q12" s="11"/>
      <c r="R12" s="11"/>
      <c r="S12" s="11"/>
      <c r="T12" s="108"/>
      <c r="U12" s="5"/>
    </row>
    <row r="13" spans="1:21" ht="14.25">
      <c r="A13" s="4"/>
      <c r="B13" s="107"/>
      <c r="C13" s="11"/>
      <c r="D13" s="11"/>
      <c r="E13" s="11"/>
      <c r="F13" s="11"/>
      <c r="G13" s="21"/>
      <c r="H13" s="21"/>
      <c r="I13" s="11"/>
      <c r="J13" s="11"/>
      <c r="K13" s="11"/>
      <c r="L13" s="11"/>
      <c r="M13" s="11"/>
      <c r="N13" s="11"/>
      <c r="O13" s="11"/>
      <c r="P13" s="11"/>
      <c r="Q13" s="11"/>
      <c r="R13" s="11"/>
      <c r="S13" s="11"/>
      <c r="T13" s="108"/>
      <c r="U13" s="5"/>
    </row>
    <row r="14" spans="1:21" ht="12.75">
      <c r="A14" s="4"/>
      <c r="B14" s="109"/>
      <c r="C14" s="110"/>
      <c r="D14" s="110"/>
      <c r="E14" s="110"/>
      <c r="F14" s="110"/>
      <c r="G14" s="110"/>
      <c r="H14" s="110"/>
      <c r="I14" s="110"/>
      <c r="J14" s="110"/>
      <c r="K14" s="110"/>
      <c r="L14" s="110"/>
      <c r="M14" s="110"/>
      <c r="N14" s="110"/>
      <c r="O14" s="110"/>
      <c r="P14" s="110"/>
      <c r="Q14" s="110"/>
      <c r="R14" s="110"/>
      <c r="S14" s="110"/>
      <c r="T14" s="111"/>
      <c r="U14" s="5"/>
    </row>
    <row r="15" spans="1:21" ht="19.5" customHeight="1">
      <c r="A15" s="4"/>
      <c r="B15" s="405" t="s">
        <v>96</v>
      </c>
      <c r="C15" s="405"/>
      <c r="D15" s="405"/>
      <c r="E15" s="405"/>
      <c r="F15" s="405"/>
      <c r="G15" s="405"/>
      <c r="H15" s="405"/>
      <c r="I15" s="405" t="s">
        <v>97</v>
      </c>
      <c r="J15" s="405"/>
      <c r="K15" s="405"/>
      <c r="L15" s="406" t="s">
        <v>98</v>
      </c>
      <c r="M15" s="406"/>
      <c r="N15" s="406"/>
      <c r="O15" s="406"/>
      <c r="P15" s="405" t="s">
        <v>99</v>
      </c>
      <c r="Q15" s="405"/>
      <c r="R15" s="405"/>
      <c r="S15" s="405"/>
      <c r="T15" s="405"/>
      <c r="U15" s="5"/>
    </row>
    <row r="16" spans="1:21" ht="50.25" customHeight="1">
      <c r="A16" s="4"/>
      <c r="B16" s="407"/>
      <c r="C16" s="407"/>
      <c r="D16" s="407"/>
      <c r="E16" s="407"/>
      <c r="F16" s="407"/>
      <c r="G16" s="407"/>
      <c r="H16" s="407"/>
      <c r="I16" s="407"/>
      <c r="J16" s="407"/>
      <c r="K16" s="407"/>
      <c r="L16" s="408"/>
      <c r="M16" s="408"/>
      <c r="N16" s="408"/>
      <c r="O16" s="408"/>
      <c r="P16" s="407"/>
      <c r="Q16" s="407"/>
      <c r="R16" s="407"/>
      <c r="S16" s="407"/>
      <c r="T16" s="407"/>
      <c r="U16" s="5"/>
    </row>
    <row r="17" spans="1:21" ht="8.25" customHeight="1">
      <c r="A17" s="4"/>
      <c r="B17" s="11"/>
      <c r="C17" s="11"/>
      <c r="D17" s="11"/>
      <c r="E17" s="11"/>
      <c r="F17" s="11"/>
      <c r="G17" s="11"/>
      <c r="H17" s="11"/>
      <c r="I17" s="11"/>
      <c r="J17" s="11"/>
      <c r="K17" s="11"/>
      <c r="L17" s="11"/>
      <c r="M17" s="11"/>
      <c r="N17" s="11"/>
      <c r="O17" s="11"/>
      <c r="P17" s="11"/>
      <c r="Q17" s="11"/>
      <c r="R17" s="11"/>
      <c r="S17" s="11"/>
      <c r="T17" s="11"/>
      <c r="U17" s="5"/>
    </row>
    <row r="18" spans="1:21" ht="32.25" customHeight="1">
      <c r="A18" s="4"/>
      <c r="B18" s="409" t="s">
        <v>100</v>
      </c>
      <c r="C18" s="409"/>
      <c r="D18" s="409"/>
      <c r="E18" s="409"/>
      <c r="F18" s="409"/>
      <c r="G18" s="409"/>
      <c r="H18" s="409"/>
      <c r="I18" s="409"/>
      <c r="J18" s="409"/>
      <c r="K18" s="409"/>
      <c r="L18" s="409"/>
      <c r="M18" s="409"/>
      <c r="N18" s="409"/>
      <c r="O18" s="409"/>
      <c r="P18" s="409"/>
      <c r="Q18" s="409"/>
      <c r="R18" s="409"/>
      <c r="S18" s="409"/>
      <c r="T18" s="409"/>
      <c r="U18" s="5"/>
    </row>
    <row r="19" spans="1:21" ht="4.5" customHeight="1">
      <c r="A19" s="4"/>
      <c r="B19" s="11"/>
      <c r="C19" s="11"/>
      <c r="D19" s="11"/>
      <c r="E19" s="11"/>
      <c r="F19" s="11"/>
      <c r="G19" s="11"/>
      <c r="H19" s="11"/>
      <c r="I19" s="11"/>
      <c r="J19" s="11"/>
      <c r="K19" s="11"/>
      <c r="L19" s="11"/>
      <c r="M19" s="11"/>
      <c r="N19" s="11"/>
      <c r="O19" s="11"/>
      <c r="P19" s="11"/>
      <c r="Q19" s="11"/>
      <c r="R19" s="11"/>
      <c r="S19" s="11"/>
      <c r="T19" s="11"/>
      <c r="U19" s="5"/>
    </row>
    <row r="20" spans="1:21" ht="15.75">
      <c r="A20" s="4"/>
      <c r="B20" s="113" t="s">
        <v>101</v>
      </c>
      <c r="C20" s="114"/>
      <c r="D20" s="114"/>
      <c r="E20" s="114"/>
      <c r="F20" s="114"/>
      <c r="G20" s="114"/>
      <c r="H20" s="114"/>
      <c r="I20" s="115"/>
      <c r="J20" s="116"/>
      <c r="K20" s="113" t="s">
        <v>102</v>
      </c>
      <c r="L20" s="114"/>
      <c r="M20" s="114"/>
      <c r="N20" s="117"/>
      <c r="O20" s="9"/>
      <c r="P20" s="9"/>
      <c r="Q20" s="9"/>
      <c r="R20" s="9"/>
      <c r="S20" s="9"/>
      <c r="T20" s="118"/>
      <c r="U20" s="5"/>
    </row>
    <row r="21" spans="1:21" ht="12.75">
      <c r="A21" s="4"/>
      <c r="B21" s="119"/>
      <c r="C21" s="120"/>
      <c r="D21" s="120"/>
      <c r="E21" s="120"/>
      <c r="F21" s="120"/>
      <c r="G21" s="120"/>
      <c r="H21" s="120"/>
      <c r="I21" s="121"/>
      <c r="J21" s="120"/>
      <c r="K21" s="119"/>
      <c r="L21" s="120"/>
      <c r="M21" s="120"/>
      <c r="N21" s="11"/>
      <c r="O21" s="11"/>
      <c r="P21" s="11"/>
      <c r="Q21" s="11"/>
      <c r="R21" s="11"/>
      <c r="S21" s="11"/>
      <c r="T21" s="122"/>
      <c r="U21" s="5"/>
    </row>
    <row r="22" spans="1:21" ht="12.75">
      <c r="A22" s="4"/>
      <c r="B22" s="123"/>
      <c r="C22" s="11"/>
      <c r="D22" s="11"/>
      <c r="E22" s="11"/>
      <c r="F22" s="11"/>
      <c r="G22" s="11"/>
      <c r="H22" s="11"/>
      <c r="I22" s="122"/>
      <c r="J22" s="11"/>
      <c r="K22" s="123"/>
      <c r="L22" s="11"/>
      <c r="M22" s="11"/>
      <c r="N22" s="11"/>
      <c r="O22" s="11"/>
      <c r="P22" s="11"/>
      <c r="Q22" s="11"/>
      <c r="R22" s="11"/>
      <c r="S22" s="11"/>
      <c r="T22" s="122"/>
      <c r="U22" s="5"/>
    </row>
    <row r="23" spans="1:21" ht="12.75">
      <c r="A23" s="4"/>
      <c r="B23" s="123"/>
      <c r="C23" s="11"/>
      <c r="D23" s="11"/>
      <c r="E23" s="11"/>
      <c r="F23" s="11"/>
      <c r="G23" s="11"/>
      <c r="H23" s="11"/>
      <c r="I23" s="122"/>
      <c r="J23" s="11"/>
      <c r="K23" s="123"/>
      <c r="L23" s="11"/>
      <c r="M23" s="11"/>
      <c r="N23" s="11"/>
      <c r="O23" s="11"/>
      <c r="P23" s="11"/>
      <c r="Q23" s="11"/>
      <c r="R23" s="11"/>
      <c r="S23" s="11"/>
      <c r="T23" s="122"/>
      <c r="U23" s="5"/>
    </row>
    <row r="24" spans="1:21" ht="12.75">
      <c r="A24" s="4"/>
      <c r="B24" s="123"/>
      <c r="C24" s="11"/>
      <c r="D24" s="11"/>
      <c r="E24" s="11"/>
      <c r="F24" s="11"/>
      <c r="G24" s="11"/>
      <c r="H24" s="11"/>
      <c r="I24" s="122"/>
      <c r="J24" s="11"/>
      <c r="K24" s="123"/>
      <c r="L24" s="11"/>
      <c r="M24" s="11"/>
      <c r="N24" s="11"/>
      <c r="O24" s="11"/>
      <c r="P24" s="11"/>
      <c r="Q24" s="11"/>
      <c r="R24" s="11"/>
      <c r="S24" s="11"/>
      <c r="T24" s="122"/>
      <c r="U24" s="5"/>
    </row>
    <row r="25" spans="1:21" ht="12.75">
      <c r="A25" s="4"/>
      <c r="B25" s="123"/>
      <c r="C25" s="11"/>
      <c r="D25" s="11"/>
      <c r="E25" s="11"/>
      <c r="F25" s="11"/>
      <c r="G25" s="11"/>
      <c r="H25" s="11"/>
      <c r="I25" s="122"/>
      <c r="J25" s="11"/>
      <c r="K25" s="123"/>
      <c r="L25" s="11"/>
      <c r="M25" s="11"/>
      <c r="N25" s="11"/>
      <c r="O25" s="11"/>
      <c r="P25" s="11"/>
      <c r="Q25" s="11"/>
      <c r="R25" s="11"/>
      <c r="S25" s="11"/>
      <c r="T25" s="122"/>
      <c r="U25" s="5"/>
    </row>
    <row r="26" spans="1:21" ht="12.75">
      <c r="A26" s="4"/>
      <c r="B26" s="123"/>
      <c r="C26" s="11"/>
      <c r="D26" s="11"/>
      <c r="E26" s="11"/>
      <c r="F26" s="11"/>
      <c r="G26" s="11"/>
      <c r="H26" s="11"/>
      <c r="I26" s="122"/>
      <c r="J26" s="11"/>
      <c r="K26" s="123"/>
      <c r="L26" s="11"/>
      <c r="M26" s="11"/>
      <c r="N26" s="11"/>
      <c r="O26" s="11"/>
      <c r="P26" s="11"/>
      <c r="Q26" s="11"/>
      <c r="R26" s="11"/>
      <c r="S26" s="11"/>
      <c r="T26" s="122"/>
      <c r="U26" s="5"/>
    </row>
    <row r="27" spans="1:21" ht="12.75">
      <c r="A27" s="4"/>
      <c r="B27" s="123"/>
      <c r="C27" s="11"/>
      <c r="D27" s="11"/>
      <c r="E27" s="11"/>
      <c r="F27" s="11"/>
      <c r="G27" s="11"/>
      <c r="H27" s="11"/>
      <c r="I27" s="122"/>
      <c r="J27" s="11"/>
      <c r="K27" s="123"/>
      <c r="L27" s="11"/>
      <c r="M27" s="11"/>
      <c r="N27" s="11"/>
      <c r="O27" s="11"/>
      <c r="P27" s="11"/>
      <c r="Q27" s="11"/>
      <c r="R27" s="11"/>
      <c r="S27" s="11"/>
      <c r="T27" s="122"/>
      <c r="U27" s="5"/>
    </row>
    <row r="28" spans="1:21" ht="12.75">
      <c r="A28" s="4"/>
      <c r="B28" s="123"/>
      <c r="C28" s="11"/>
      <c r="D28" s="11"/>
      <c r="E28" s="11"/>
      <c r="F28" s="11"/>
      <c r="G28" s="11"/>
      <c r="H28" s="11"/>
      <c r="I28" s="122"/>
      <c r="J28" s="11"/>
      <c r="K28" s="123"/>
      <c r="L28" s="11"/>
      <c r="M28" s="11"/>
      <c r="N28" s="11"/>
      <c r="O28" s="11"/>
      <c r="P28" s="11"/>
      <c r="Q28" s="11"/>
      <c r="R28" s="11"/>
      <c r="S28" s="11"/>
      <c r="T28" s="122"/>
      <c r="U28" s="5"/>
    </row>
    <row r="29" spans="1:21" ht="12.75">
      <c r="A29" s="4"/>
      <c r="B29" s="123"/>
      <c r="C29" s="11"/>
      <c r="D29" s="11"/>
      <c r="E29" s="11"/>
      <c r="F29" s="11"/>
      <c r="G29" s="11"/>
      <c r="H29" s="11"/>
      <c r="I29" s="122"/>
      <c r="J29" s="11"/>
      <c r="K29" s="123"/>
      <c r="L29" s="11"/>
      <c r="M29" s="11"/>
      <c r="N29" s="11"/>
      <c r="O29" s="11"/>
      <c r="P29" s="11"/>
      <c r="Q29" s="11"/>
      <c r="R29" s="11"/>
      <c r="S29" s="11"/>
      <c r="T29" s="122"/>
      <c r="U29" s="5"/>
    </row>
    <row r="30" spans="1:21" ht="12.75">
      <c r="A30" s="4"/>
      <c r="B30" s="123"/>
      <c r="C30" s="11"/>
      <c r="D30" s="11"/>
      <c r="E30" s="11"/>
      <c r="F30" s="11"/>
      <c r="G30" s="11"/>
      <c r="H30" s="11"/>
      <c r="I30" s="122"/>
      <c r="J30" s="11"/>
      <c r="K30" s="123"/>
      <c r="L30" s="11"/>
      <c r="M30" s="11"/>
      <c r="N30" s="11"/>
      <c r="O30" s="11"/>
      <c r="P30" s="11"/>
      <c r="Q30" s="11"/>
      <c r="R30" s="11"/>
      <c r="S30" s="11"/>
      <c r="T30" s="122"/>
      <c r="U30" s="5"/>
    </row>
    <row r="31" spans="1:21" ht="12.75">
      <c r="A31" s="4"/>
      <c r="B31" s="123"/>
      <c r="C31" s="11"/>
      <c r="D31" s="11"/>
      <c r="E31" s="11"/>
      <c r="F31" s="11"/>
      <c r="G31" s="11"/>
      <c r="H31" s="11"/>
      <c r="I31" s="122"/>
      <c r="J31" s="11"/>
      <c r="K31" s="123"/>
      <c r="L31" s="11"/>
      <c r="M31" s="11"/>
      <c r="N31" s="11"/>
      <c r="O31" s="11"/>
      <c r="P31" s="11"/>
      <c r="Q31" s="11"/>
      <c r="R31" s="11"/>
      <c r="S31" s="11"/>
      <c r="T31" s="122"/>
      <c r="U31" s="5"/>
    </row>
    <row r="32" spans="1:21" ht="12.75">
      <c r="A32" s="4"/>
      <c r="B32" s="123"/>
      <c r="C32" s="11"/>
      <c r="D32" s="11"/>
      <c r="E32" s="11"/>
      <c r="F32" s="11"/>
      <c r="G32" s="11"/>
      <c r="H32" s="11"/>
      <c r="I32" s="122"/>
      <c r="J32" s="11"/>
      <c r="K32" s="123"/>
      <c r="L32" s="11"/>
      <c r="M32" s="11"/>
      <c r="N32" s="11"/>
      <c r="O32" s="11"/>
      <c r="P32" s="11"/>
      <c r="Q32" s="11"/>
      <c r="R32" s="11"/>
      <c r="S32" s="11"/>
      <c r="T32" s="122"/>
      <c r="U32" s="5"/>
    </row>
    <row r="33" spans="1:21" ht="12.75">
      <c r="A33" s="4"/>
      <c r="B33" s="123"/>
      <c r="C33" s="11"/>
      <c r="D33" s="11"/>
      <c r="E33" s="11"/>
      <c r="F33" s="11"/>
      <c r="G33" s="11"/>
      <c r="H33" s="11"/>
      <c r="I33" s="122"/>
      <c r="J33" s="11"/>
      <c r="K33" s="123"/>
      <c r="L33" s="11"/>
      <c r="M33" s="11"/>
      <c r="N33" s="11"/>
      <c r="O33" s="11"/>
      <c r="P33" s="11"/>
      <c r="Q33" s="11"/>
      <c r="R33" s="11"/>
      <c r="S33" s="11"/>
      <c r="T33" s="122"/>
      <c r="U33" s="5"/>
    </row>
    <row r="34" spans="1:21" ht="12.75">
      <c r="A34" s="4"/>
      <c r="B34" s="123"/>
      <c r="C34" s="11"/>
      <c r="D34" s="11"/>
      <c r="E34" s="11"/>
      <c r="F34" s="11"/>
      <c r="G34" s="11"/>
      <c r="H34" s="11"/>
      <c r="I34" s="122"/>
      <c r="J34" s="11"/>
      <c r="K34" s="123"/>
      <c r="L34" s="11"/>
      <c r="M34" s="11"/>
      <c r="N34" s="11"/>
      <c r="O34" s="11"/>
      <c r="P34" s="11"/>
      <c r="Q34" s="11"/>
      <c r="R34" s="11"/>
      <c r="S34" s="11"/>
      <c r="T34" s="122"/>
      <c r="U34" s="5"/>
    </row>
    <row r="35" spans="1:21" ht="12.75">
      <c r="A35" s="4"/>
      <c r="B35" s="123"/>
      <c r="C35" s="11"/>
      <c r="D35" s="11"/>
      <c r="E35" s="11"/>
      <c r="F35" s="11"/>
      <c r="G35" s="11"/>
      <c r="H35" s="11"/>
      <c r="I35" s="122"/>
      <c r="J35" s="11"/>
      <c r="K35" s="123"/>
      <c r="L35" s="11"/>
      <c r="M35" s="11"/>
      <c r="N35" s="11"/>
      <c r="O35" s="11"/>
      <c r="P35" s="11"/>
      <c r="Q35" s="11"/>
      <c r="R35" s="11"/>
      <c r="S35" s="11"/>
      <c r="T35" s="122"/>
      <c r="U35" s="5"/>
    </row>
    <row r="36" spans="1:21" ht="12.75">
      <c r="A36" s="4"/>
      <c r="B36" s="123"/>
      <c r="C36" s="11"/>
      <c r="D36" s="11"/>
      <c r="E36" s="11"/>
      <c r="F36" s="11"/>
      <c r="G36" s="11"/>
      <c r="H36" s="11"/>
      <c r="I36" s="122"/>
      <c r="J36" s="11"/>
      <c r="K36" s="123"/>
      <c r="L36" s="11"/>
      <c r="M36" s="11"/>
      <c r="N36" s="11"/>
      <c r="O36" s="11"/>
      <c r="P36" s="11"/>
      <c r="Q36" s="11"/>
      <c r="R36" s="11"/>
      <c r="S36" s="11"/>
      <c r="T36" s="122"/>
      <c r="U36" s="5"/>
    </row>
    <row r="37" spans="1:21" ht="12.75">
      <c r="A37" s="4"/>
      <c r="B37" s="124"/>
      <c r="C37" s="125"/>
      <c r="D37" s="125"/>
      <c r="E37" s="125"/>
      <c r="F37" s="125"/>
      <c r="G37" s="125"/>
      <c r="H37" s="125"/>
      <c r="I37" s="126"/>
      <c r="J37" s="11"/>
      <c r="K37" s="124"/>
      <c r="L37" s="125"/>
      <c r="M37" s="125"/>
      <c r="N37" s="125"/>
      <c r="O37" s="125"/>
      <c r="P37" s="125"/>
      <c r="Q37" s="125"/>
      <c r="R37" s="125"/>
      <c r="S37" s="125"/>
      <c r="T37" s="126"/>
      <c r="U37" s="5"/>
    </row>
    <row r="38" spans="1:21" ht="4.5" customHeight="1">
      <c r="A38" s="4"/>
      <c r="B38" s="11"/>
      <c r="C38" s="11"/>
      <c r="D38" s="11"/>
      <c r="E38" s="11"/>
      <c r="F38" s="11"/>
      <c r="G38" s="11"/>
      <c r="H38" s="11"/>
      <c r="I38" s="11"/>
      <c r="J38" s="11"/>
      <c r="K38" s="11"/>
      <c r="L38" s="11"/>
      <c r="M38" s="11"/>
      <c r="N38" s="11"/>
      <c r="O38" s="11"/>
      <c r="P38" s="11"/>
      <c r="Q38" s="11"/>
      <c r="R38" s="11"/>
      <c r="S38" s="11"/>
      <c r="T38" s="11"/>
      <c r="U38" s="5"/>
    </row>
    <row r="39" spans="1:21" ht="17.25" customHeight="1">
      <c r="A39" s="4"/>
      <c r="B39" s="410" t="s">
        <v>103</v>
      </c>
      <c r="C39" s="410"/>
      <c r="D39" s="410"/>
      <c r="E39" s="410"/>
      <c r="F39" s="410"/>
      <c r="G39" s="410"/>
      <c r="H39" s="410"/>
      <c r="I39" s="410"/>
      <c r="J39" s="410"/>
      <c r="K39" s="410"/>
      <c r="L39" s="410"/>
      <c r="M39" s="410"/>
      <c r="N39" s="410"/>
      <c r="O39" s="410"/>
      <c r="P39" s="410"/>
      <c r="Q39" s="410"/>
      <c r="R39" s="410"/>
      <c r="S39" s="410"/>
      <c r="T39" s="410"/>
      <c r="U39" s="5"/>
    </row>
    <row r="40" spans="1:21" ht="15" customHeight="1">
      <c r="A40" s="4"/>
      <c r="B40" s="411" t="s">
        <v>104</v>
      </c>
      <c r="C40" s="411"/>
      <c r="D40" s="411"/>
      <c r="E40" s="411"/>
      <c r="F40" s="411"/>
      <c r="G40" s="411"/>
      <c r="H40" s="411"/>
      <c r="I40" s="411"/>
      <c r="J40" s="411"/>
      <c r="K40" s="411" t="s">
        <v>105</v>
      </c>
      <c r="L40" s="411"/>
      <c r="M40" s="411"/>
      <c r="N40" s="411"/>
      <c r="O40" s="411"/>
      <c r="P40" s="411"/>
      <c r="Q40" s="411"/>
      <c r="R40" s="411"/>
      <c r="S40" s="411"/>
      <c r="T40" s="411"/>
      <c r="U40" s="5"/>
    </row>
    <row r="41" spans="1:21" ht="30.75" customHeight="1">
      <c r="A41" s="4"/>
      <c r="B41" s="412">
        <f>SÖZLEŞME!C3</f>
        <v>0</v>
      </c>
      <c r="C41" s="412"/>
      <c r="D41" s="412"/>
      <c r="E41" s="412"/>
      <c r="F41" s="412"/>
      <c r="G41" s="412"/>
      <c r="H41" s="412"/>
      <c r="I41" s="412"/>
      <c r="J41" s="412"/>
      <c r="K41" s="412">
        <f>SÖZLEŞME!C4</f>
        <v>0</v>
      </c>
      <c r="L41" s="412"/>
      <c r="M41" s="412"/>
      <c r="N41" s="412"/>
      <c r="O41" s="412"/>
      <c r="P41" s="412"/>
      <c r="Q41" s="412"/>
      <c r="R41" s="412"/>
      <c r="S41" s="412"/>
      <c r="T41" s="412"/>
      <c r="U41" s="5"/>
    </row>
    <row r="42" spans="1:21" ht="5.25" customHeight="1">
      <c r="A42" s="4"/>
      <c r="B42" s="11"/>
      <c r="C42" s="11"/>
      <c r="D42" s="11"/>
      <c r="E42" s="11"/>
      <c r="F42" s="11"/>
      <c r="G42" s="11"/>
      <c r="H42" s="11"/>
      <c r="I42" s="11"/>
      <c r="J42" s="11"/>
      <c r="K42" s="11"/>
      <c r="L42" s="11"/>
      <c r="M42" s="11"/>
      <c r="N42" s="11"/>
      <c r="O42" s="11"/>
      <c r="P42" s="11"/>
      <c r="Q42" s="11"/>
      <c r="R42" s="11"/>
      <c r="S42" s="11"/>
      <c r="T42" s="11"/>
      <c r="U42" s="5"/>
    </row>
    <row r="43" spans="1:21" ht="17.25" customHeight="1">
      <c r="A43" s="4"/>
      <c r="B43" s="410" t="s">
        <v>106</v>
      </c>
      <c r="C43" s="410"/>
      <c r="D43" s="410"/>
      <c r="E43" s="410"/>
      <c r="F43" s="410"/>
      <c r="G43" s="410"/>
      <c r="H43" s="410"/>
      <c r="I43" s="410"/>
      <c r="J43" s="410"/>
      <c r="K43" s="410"/>
      <c r="L43" s="410"/>
      <c r="M43" s="410"/>
      <c r="N43" s="410"/>
      <c r="O43" s="410"/>
      <c r="P43" s="410"/>
      <c r="Q43" s="410"/>
      <c r="R43" s="410"/>
      <c r="S43" s="410"/>
      <c r="T43" s="410"/>
      <c r="U43" s="5"/>
    </row>
    <row r="44" spans="1:21" ht="17.25" customHeight="1">
      <c r="A44" s="4"/>
      <c r="B44" s="127" t="s">
        <v>107</v>
      </c>
      <c r="C44" s="411" t="s">
        <v>108</v>
      </c>
      <c r="D44" s="411"/>
      <c r="E44" s="411"/>
      <c r="F44" s="411"/>
      <c r="G44" s="411" t="s">
        <v>109</v>
      </c>
      <c r="H44" s="411"/>
      <c r="I44" s="411" t="s">
        <v>110</v>
      </c>
      <c r="J44" s="411"/>
      <c r="K44" s="411"/>
      <c r="L44" s="411"/>
      <c r="M44" s="127" t="s">
        <v>111</v>
      </c>
      <c r="N44" s="411" t="s">
        <v>112</v>
      </c>
      <c r="O44" s="411"/>
      <c r="P44" s="411" t="s">
        <v>113</v>
      </c>
      <c r="Q44" s="411"/>
      <c r="R44" s="411"/>
      <c r="S44" s="411" t="s">
        <v>114</v>
      </c>
      <c r="T44" s="411"/>
      <c r="U44" s="5"/>
    </row>
    <row r="45" spans="1:21" ht="17.25" customHeight="1">
      <c r="A45" s="4"/>
      <c r="B45" s="112"/>
      <c r="C45" s="407"/>
      <c r="D45" s="407"/>
      <c r="E45" s="407"/>
      <c r="F45" s="407"/>
      <c r="G45" s="407"/>
      <c r="H45" s="407"/>
      <c r="I45" s="407"/>
      <c r="J45" s="407"/>
      <c r="K45" s="407"/>
      <c r="L45" s="407"/>
      <c r="M45" s="112"/>
      <c r="N45" s="407"/>
      <c r="O45" s="407"/>
      <c r="P45" s="407"/>
      <c r="Q45" s="407"/>
      <c r="R45" s="407"/>
      <c r="S45" s="407"/>
      <c r="T45" s="407"/>
      <c r="U45" s="5"/>
    </row>
    <row r="46" spans="1:21" ht="6" customHeight="1">
      <c r="A46" s="4"/>
      <c r="B46" s="11"/>
      <c r="C46" s="11"/>
      <c r="D46" s="11"/>
      <c r="E46" s="11"/>
      <c r="F46" s="11"/>
      <c r="G46" s="11"/>
      <c r="H46" s="11"/>
      <c r="I46" s="11"/>
      <c r="J46" s="11"/>
      <c r="K46" s="11"/>
      <c r="L46" s="11"/>
      <c r="M46" s="11"/>
      <c r="N46" s="11"/>
      <c r="O46" s="11"/>
      <c r="P46" s="11"/>
      <c r="Q46" s="11"/>
      <c r="R46" s="11"/>
      <c r="S46" s="11"/>
      <c r="T46" s="11"/>
      <c r="U46" s="5"/>
    </row>
    <row r="47" spans="1:21" ht="18.75" customHeight="1">
      <c r="A47" s="4"/>
      <c r="B47" s="413" t="s">
        <v>115</v>
      </c>
      <c r="C47" s="128"/>
      <c r="D47" s="414">
        <f>'BAŞLIK ST'!T4</f>
        <v>0</v>
      </c>
      <c r="E47" s="414"/>
      <c r="F47" s="415" t="s">
        <v>116</v>
      </c>
      <c r="G47" s="415"/>
      <c r="H47" s="415"/>
      <c r="I47" s="415"/>
      <c r="J47" s="415"/>
      <c r="K47" s="415"/>
      <c r="L47" s="415"/>
      <c r="M47" s="415"/>
      <c r="N47" s="415"/>
      <c r="O47" s="416" t="s">
        <v>117</v>
      </c>
      <c r="P47" s="416"/>
      <c r="Q47" s="416"/>
      <c r="R47" s="416"/>
      <c r="S47" s="417"/>
      <c r="T47" s="417"/>
      <c r="U47" s="5"/>
    </row>
    <row r="48" spans="1:21" ht="17.25" customHeight="1">
      <c r="A48" s="4"/>
      <c r="B48" s="413"/>
      <c r="C48" s="130"/>
      <c r="D48" s="414"/>
      <c r="E48" s="414"/>
      <c r="F48" s="415"/>
      <c r="G48" s="415"/>
      <c r="H48" s="415"/>
      <c r="I48" s="415"/>
      <c r="J48" s="415"/>
      <c r="K48" s="415"/>
      <c r="L48" s="415"/>
      <c r="M48" s="415"/>
      <c r="N48" s="415"/>
      <c r="O48" s="416"/>
      <c r="P48" s="416"/>
      <c r="Q48" s="416"/>
      <c r="R48" s="416"/>
      <c r="S48" s="417"/>
      <c r="T48" s="417"/>
      <c r="U48" s="5"/>
    </row>
    <row r="49" spans="1:21" ht="4.5" customHeight="1">
      <c r="A49" s="4"/>
      <c r="B49" s="11"/>
      <c r="C49" s="11"/>
      <c r="D49" s="11"/>
      <c r="E49" s="11"/>
      <c r="F49" s="11"/>
      <c r="G49" s="11"/>
      <c r="H49" s="11"/>
      <c r="I49" s="11"/>
      <c r="J49" s="11"/>
      <c r="K49" s="11"/>
      <c r="L49" s="11"/>
      <c r="M49" s="11"/>
      <c r="N49" s="11"/>
      <c r="O49" s="11"/>
      <c r="P49" s="11"/>
      <c r="Q49" s="11"/>
      <c r="R49" s="11"/>
      <c r="S49" s="11"/>
      <c r="T49" s="11"/>
      <c r="U49" s="5"/>
    </row>
    <row r="50" spans="1:21" ht="17.25" customHeight="1">
      <c r="A50" s="4"/>
      <c r="B50" s="410" t="s">
        <v>118</v>
      </c>
      <c r="C50" s="410"/>
      <c r="D50" s="410"/>
      <c r="E50" s="410"/>
      <c r="F50" s="410"/>
      <c r="G50" s="410"/>
      <c r="H50" s="410"/>
      <c r="I50" s="410"/>
      <c r="J50" s="410"/>
      <c r="K50" s="410"/>
      <c r="L50" s="410"/>
      <c r="M50" s="410"/>
      <c r="N50" s="410"/>
      <c r="O50" s="410"/>
      <c r="P50" s="410"/>
      <c r="Q50" s="410"/>
      <c r="R50" s="410"/>
      <c r="S50" s="410"/>
      <c r="T50" s="410"/>
      <c r="U50" s="5"/>
    </row>
    <row r="51" spans="1:21" ht="29.25" customHeight="1">
      <c r="A51" s="4"/>
      <c r="B51" s="129" t="s">
        <v>119</v>
      </c>
      <c r="C51" s="416" t="s">
        <v>120</v>
      </c>
      <c r="D51" s="416"/>
      <c r="E51" s="416"/>
      <c r="F51" s="416"/>
      <c r="G51" s="416"/>
      <c r="H51" s="416" t="s">
        <v>121</v>
      </c>
      <c r="I51" s="416"/>
      <c r="J51" s="416" t="s">
        <v>122</v>
      </c>
      <c r="K51" s="416"/>
      <c r="L51" s="416"/>
      <c r="M51" s="416" t="s">
        <v>123</v>
      </c>
      <c r="N51" s="416"/>
      <c r="O51" s="416"/>
      <c r="P51" s="416" t="s">
        <v>124</v>
      </c>
      <c r="Q51" s="416"/>
      <c r="R51" s="416"/>
      <c r="S51" s="416"/>
      <c r="T51" s="416"/>
      <c r="U51" s="5"/>
    </row>
    <row r="52" spans="1:21" ht="17.25" customHeight="1">
      <c r="A52" s="4"/>
      <c r="B52" s="131"/>
      <c r="C52" s="418"/>
      <c r="D52" s="418"/>
      <c r="E52" s="418"/>
      <c r="F52" s="418"/>
      <c r="G52" s="418"/>
      <c r="H52" s="419"/>
      <c r="I52" s="419"/>
      <c r="J52" s="418"/>
      <c r="K52" s="418"/>
      <c r="L52" s="418"/>
      <c r="M52" s="419"/>
      <c r="N52" s="419"/>
      <c r="O52" s="419"/>
      <c r="P52" s="419"/>
      <c r="Q52" s="419"/>
      <c r="R52" s="419"/>
      <c r="S52" s="419"/>
      <c r="T52" s="419"/>
      <c r="U52" s="5"/>
    </row>
    <row r="53" spans="1:21" ht="4.5" customHeight="1">
      <c r="A53" s="12"/>
      <c r="B53" s="132"/>
      <c r="C53" s="132"/>
      <c r="D53" s="132"/>
      <c r="E53" s="132"/>
      <c r="F53" s="132"/>
      <c r="G53" s="132"/>
      <c r="H53" s="132"/>
      <c r="I53" s="132"/>
      <c r="J53" s="132"/>
      <c r="K53" s="132"/>
      <c r="L53" s="132"/>
      <c r="M53" s="132"/>
      <c r="N53" s="132"/>
      <c r="O53" s="132"/>
      <c r="P53" s="132"/>
      <c r="Q53" s="132"/>
      <c r="R53" s="132"/>
      <c r="S53" s="132"/>
      <c r="T53" s="132"/>
      <c r="U53" s="14"/>
    </row>
    <row r="54" spans="1:21" ht="0.75" customHeight="1">
      <c r="A54" s="12"/>
      <c r="B54" s="13"/>
      <c r="C54" s="13"/>
      <c r="D54" s="13"/>
      <c r="E54" s="13"/>
      <c r="F54" s="13"/>
      <c r="G54" s="13"/>
      <c r="H54" s="13"/>
      <c r="I54" s="13"/>
      <c r="J54" s="13"/>
      <c r="K54" s="13"/>
      <c r="L54" s="13"/>
      <c r="M54" s="13"/>
      <c r="N54" s="13"/>
      <c r="O54" s="13"/>
      <c r="P54" s="13"/>
      <c r="Q54" s="13"/>
      <c r="R54" s="13"/>
      <c r="S54" s="13"/>
      <c r="T54" s="13"/>
      <c r="U54" s="14"/>
    </row>
  </sheetData>
  <mergeCells count="44">
    <mergeCell ref="P52:T52"/>
    <mergeCell ref="C52:G52"/>
    <mergeCell ref="H52:I52"/>
    <mergeCell ref="J52:L52"/>
    <mergeCell ref="M52:O52"/>
    <mergeCell ref="B50:T50"/>
    <mergeCell ref="C51:G51"/>
    <mergeCell ref="H51:I51"/>
    <mergeCell ref="J51:L51"/>
    <mergeCell ref="M51:O51"/>
    <mergeCell ref="P51:T51"/>
    <mergeCell ref="P45:R45"/>
    <mergeCell ref="S45:T45"/>
    <mergeCell ref="B47:B48"/>
    <mergeCell ref="D47:E48"/>
    <mergeCell ref="F47:N48"/>
    <mergeCell ref="O47:R48"/>
    <mergeCell ref="S47:T48"/>
    <mergeCell ref="C45:F45"/>
    <mergeCell ref="G45:H45"/>
    <mergeCell ref="I45:L45"/>
    <mergeCell ref="N45:O45"/>
    <mergeCell ref="B41:J41"/>
    <mergeCell ref="K41:T41"/>
    <mergeCell ref="B43:T43"/>
    <mergeCell ref="C44:F44"/>
    <mergeCell ref="G44:H44"/>
    <mergeCell ref="I44:L44"/>
    <mergeCell ref="N44:O44"/>
    <mergeCell ref="P44:R44"/>
    <mergeCell ref="S44:T44"/>
    <mergeCell ref="B18:T18"/>
    <mergeCell ref="B39:T39"/>
    <mergeCell ref="B40:J40"/>
    <mergeCell ref="K40:T40"/>
    <mergeCell ref="B16:H16"/>
    <mergeCell ref="I16:K16"/>
    <mergeCell ref="L16:O16"/>
    <mergeCell ref="P16:T16"/>
    <mergeCell ref="B2:T2"/>
    <mergeCell ref="B15:H15"/>
    <mergeCell ref="I15:K15"/>
    <mergeCell ref="L15:O15"/>
    <mergeCell ref="P15:T15"/>
  </mergeCells>
  <printOptions/>
  <pageMargins left="0.7875" right="0.7875" top="1.025" bottom="1.025" header="0.7875" footer="0.7875"/>
  <pageSetup fitToHeight="1" fitToWidth="1" horizontalDpi="300" verticalDpi="300" orientation="portrait" paperSize="9"/>
  <headerFooter alignWithMargins="0">
    <oddHeader>&amp;C&amp;A</oddHeader>
    <oddFooter>&amp;CSayfa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IV72"/>
  <sheetViews>
    <sheetView showZeros="0" tabSelected="1" workbookViewId="0" topLeftCell="A55">
      <selection activeCell="B1" sqref="B1:AF1"/>
    </sheetView>
  </sheetViews>
  <sheetFormatPr defaultColWidth="9.140625" defaultRowHeight="9.75" customHeight="1"/>
  <cols>
    <col min="1" max="1" width="1.421875" style="41" customWidth="1"/>
    <col min="2" max="4" width="2.28125" style="41" customWidth="1"/>
    <col min="5" max="5" width="2.57421875" style="41" customWidth="1"/>
    <col min="6" max="8" width="2.28125" style="41" customWidth="1"/>
    <col min="9" max="9" width="3.00390625" style="41" customWidth="1"/>
    <col min="10" max="17" width="2.28125" style="41" customWidth="1"/>
    <col min="18" max="18" width="2.57421875" style="41" customWidth="1"/>
    <col min="19" max="29" width="2.28125" style="41" customWidth="1"/>
    <col min="30" max="30" width="1.421875" style="41" customWidth="1"/>
    <col min="31" max="31" width="3.00390625" style="41" customWidth="1"/>
    <col min="32" max="32" width="1.8515625" style="41" customWidth="1"/>
    <col min="33" max="38" width="2.28125" style="41" customWidth="1"/>
    <col min="39" max="39" width="2.00390625" style="41" customWidth="1"/>
    <col min="40" max="40" width="1.28515625" style="41" customWidth="1"/>
    <col min="41" max="41" width="0.9921875" style="41" customWidth="1"/>
    <col min="42" max="16384" width="2.28125" style="41" customWidth="1"/>
  </cols>
  <sheetData>
    <row r="1" spans="2:40" s="133" customFormat="1" ht="15.75" customHeight="1">
      <c r="B1" s="420" t="s">
        <v>125</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1" t="s">
        <v>126</v>
      </c>
      <c r="AH1" s="421"/>
      <c r="AI1" s="421"/>
      <c r="AJ1" s="421"/>
      <c r="AK1" s="421"/>
      <c r="AL1" s="421"/>
      <c r="AM1" s="421"/>
      <c r="AN1" s="421"/>
    </row>
    <row r="2" spans="2:40" s="133" customFormat="1" ht="15.75" customHeight="1">
      <c r="B2" s="422" t="s">
        <v>127</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134"/>
      <c r="AH2" s="135"/>
      <c r="AI2" s="135"/>
      <c r="AJ2" s="135"/>
      <c r="AK2" s="135"/>
      <c r="AL2" s="135"/>
      <c r="AM2" s="135"/>
      <c r="AN2" s="136"/>
    </row>
    <row r="3" ht="6" customHeight="1"/>
    <row r="4" ht="12.75" customHeight="1">
      <c r="B4" s="137" t="s">
        <v>128</v>
      </c>
    </row>
    <row r="5" ht="5.25" customHeight="1"/>
    <row r="6" spans="2:26" ht="11.25" customHeight="1">
      <c r="B6" s="138" t="s">
        <v>129</v>
      </c>
      <c r="C6" s="139"/>
      <c r="D6" s="139"/>
      <c r="E6" s="139"/>
      <c r="F6" s="139"/>
      <c r="G6" s="139"/>
      <c r="H6" s="139"/>
      <c r="I6" s="139"/>
      <c r="J6" s="139"/>
      <c r="K6" s="139"/>
      <c r="S6" s="138" t="s">
        <v>130</v>
      </c>
      <c r="T6" s="139"/>
      <c r="U6" s="139"/>
      <c r="V6" s="139"/>
      <c r="W6" s="139"/>
      <c r="X6" s="139"/>
      <c r="Y6" s="139"/>
      <c r="Z6" s="139"/>
    </row>
    <row r="7" spans="2:38" ht="11.25" customHeight="1">
      <c r="B7" s="423" t="s">
        <v>96</v>
      </c>
      <c r="C7" s="423"/>
      <c r="D7" s="423"/>
      <c r="E7" s="423"/>
      <c r="F7" s="139"/>
      <c r="S7" s="41" t="s">
        <v>96</v>
      </c>
      <c r="X7" s="140" t="s">
        <v>131</v>
      </c>
      <c r="Y7" s="424"/>
      <c r="Z7" s="424"/>
      <c r="AA7" s="424"/>
      <c r="AB7" s="424"/>
      <c r="AC7" s="424"/>
      <c r="AD7" s="424"/>
      <c r="AE7" s="424"/>
      <c r="AF7" s="424"/>
      <c r="AG7" s="424"/>
      <c r="AH7" s="424"/>
      <c r="AI7" s="424"/>
      <c r="AJ7" s="424"/>
      <c r="AK7" s="424"/>
      <c r="AL7" s="424"/>
    </row>
    <row r="8" spans="2:38" ht="11.25" customHeight="1">
      <c r="B8" s="423" t="s">
        <v>132</v>
      </c>
      <c r="C8" s="423"/>
      <c r="D8" s="423"/>
      <c r="E8" s="423"/>
      <c r="F8" s="425"/>
      <c r="G8" s="425"/>
      <c r="H8" s="425"/>
      <c r="I8" s="425"/>
      <c r="J8" s="425"/>
      <c r="S8" s="41" t="s">
        <v>133</v>
      </c>
      <c r="V8" s="140"/>
      <c r="W8" s="140"/>
      <c r="X8" s="140" t="s">
        <v>131</v>
      </c>
      <c r="Y8" s="141"/>
      <c r="Z8"/>
      <c r="AA8"/>
      <c r="AB8"/>
      <c r="AC8"/>
      <c r="AD8"/>
      <c r="AE8"/>
      <c r="AF8"/>
      <c r="AG8"/>
      <c r="AH8"/>
      <c r="AI8"/>
      <c r="AJ8"/>
      <c r="AK8"/>
      <c r="AL8"/>
    </row>
    <row r="9" spans="2:38" ht="11.25" customHeight="1">
      <c r="B9" s="423" t="s">
        <v>134</v>
      </c>
      <c r="C9" s="423"/>
      <c r="D9" s="423"/>
      <c r="E9" s="423"/>
      <c r="F9" s="139"/>
      <c r="S9" s="41" t="s">
        <v>135</v>
      </c>
      <c r="X9" s="140" t="s">
        <v>131</v>
      </c>
      <c r="Y9" s="424"/>
      <c r="Z9" s="424"/>
      <c r="AA9" s="424"/>
      <c r="AB9" s="424"/>
      <c r="AC9" s="424"/>
      <c r="AD9" s="424"/>
      <c r="AE9" s="424"/>
      <c r="AF9" s="424"/>
      <c r="AG9" s="424"/>
      <c r="AH9" s="424"/>
      <c r="AI9" s="424"/>
      <c r="AJ9" s="424"/>
      <c r="AK9" s="142"/>
      <c r="AL9" s="142"/>
    </row>
    <row r="10" spans="2:38" ht="11.25" customHeight="1">
      <c r="B10" s="423" t="s">
        <v>136</v>
      </c>
      <c r="C10" s="423"/>
      <c r="D10" s="423"/>
      <c r="E10" s="423"/>
      <c r="F10" s="426"/>
      <c r="G10" s="426"/>
      <c r="S10" s="41" t="s">
        <v>137</v>
      </c>
      <c r="X10" s="140" t="s">
        <v>131</v>
      </c>
      <c r="Y10" s="424"/>
      <c r="Z10" s="424"/>
      <c r="AA10" s="424"/>
      <c r="AB10" s="424"/>
      <c r="AC10" s="424"/>
      <c r="AD10" s="424"/>
      <c r="AE10" s="424"/>
      <c r="AF10" s="424"/>
      <c r="AG10" s="424"/>
      <c r="AH10" s="424"/>
      <c r="AI10" s="424"/>
      <c r="AJ10" s="424"/>
      <c r="AK10" s="142"/>
      <c r="AL10" s="142"/>
    </row>
    <row r="11" spans="2:39" ht="21.75" customHeight="1">
      <c r="B11" s="427" t="s">
        <v>133</v>
      </c>
      <c r="C11" s="427"/>
      <c r="D11" s="427"/>
      <c r="E11" s="427"/>
      <c r="F11" s="428"/>
      <c r="G11" s="428"/>
      <c r="H11" s="428"/>
      <c r="I11" s="428"/>
      <c r="J11" s="428"/>
      <c r="K11" s="428"/>
      <c r="L11" s="428"/>
      <c r="M11" s="428"/>
      <c r="N11" s="428"/>
      <c r="O11" s="428"/>
      <c r="P11" s="428"/>
      <c r="Q11" s="428"/>
      <c r="R11" s="428"/>
      <c r="S11" s="143"/>
      <c r="T11" s="143"/>
      <c r="U11" s="143"/>
      <c r="V11" s="143"/>
      <c r="W11" s="143"/>
      <c r="X11" s="144"/>
      <c r="Y11" s="145"/>
      <c r="Z11" s="146"/>
      <c r="AA11" s="146"/>
      <c r="AB11" s="146"/>
      <c r="AC11" s="146"/>
      <c r="AD11" s="146"/>
      <c r="AE11" s="146"/>
      <c r="AF11" s="146"/>
      <c r="AG11" s="146"/>
      <c r="AH11" s="146"/>
      <c r="AI11" s="146"/>
      <c r="AJ11" s="146"/>
      <c r="AK11" s="147"/>
      <c r="AL11" s="147"/>
      <c r="AM11" s="143"/>
    </row>
    <row r="12" ht="12.75" customHeight="1">
      <c r="B12" s="41" t="s">
        <v>138</v>
      </c>
    </row>
    <row r="13" ht="6" customHeight="1"/>
    <row r="14" ht="12.75" customHeight="1">
      <c r="B14" s="137" t="s">
        <v>139</v>
      </c>
    </row>
    <row r="15" ht="5.25" customHeight="1"/>
    <row r="16" spans="2:40" s="138" customFormat="1" ht="12.75" customHeight="1">
      <c r="B16" s="429" t="s">
        <v>140</v>
      </c>
      <c r="C16" s="429"/>
      <c r="D16" s="429"/>
      <c r="E16" s="429"/>
      <c r="F16" s="429"/>
      <c r="G16" s="429" t="s">
        <v>141</v>
      </c>
      <c r="H16" s="429"/>
      <c r="I16" s="429"/>
      <c r="J16" s="429"/>
      <c r="K16" s="429" t="s">
        <v>142</v>
      </c>
      <c r="L16" s="429"/>
      <c r="M16" s="429"/>
      <c r="N16" s="429"/>
      <c r="O16" s="429"/>
      <c r="P16" s="429"/>
      <c r="Q16" s="429"/>
      <c r="R16" s="429" t="s">
        <v>143</v>
      </c>
      <c r="S16" s="429"/>
      <c r="T16" s="429"/>
      <c r="U16" s="429"/>
      <c r="V16" s="429"/>
      <c r="W16" s="429"/>
      <c r="X16" s="429"/>
      <c r="Y16" s="429"/>
      <c r="Z16" s="429"/>
      <c r="AA16" s="429" t="s">
        <v>144</v>
      </c>
      <c r="AB16" s="429"/>
      <c r="AC16" s="429"/>
      <c r="AD16" s="429"/>
      <c r="AE16" s="429"/>
      <c r="AF16" s="429" t="s">
        <v>145</v>
      </c>
      <c r="AG16" s="429"/>
      <c r="AH16" s="429"/>
      <c r="AI16" s="429"/>
      <c r="AJ16" s="429" t="s">
        <v>146</v>
      </c>
      <c r="AK16" s="429"/>
      <c r="AL16" s="429"/>
      <c r="AM16" s="429"/>
      <c r="AN16" s="429"/>
    </row>
    <row r="17" spans="2:40" s="138" customFormat="1" ht="24" customHeight="1">
      <c r="B17" s="430"/>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1"/>
      <c r="AB17" s="431"/>
      <c r="AC17" s="431"/>
      <c r="AD17" s="431"/>
      <c r="AE17" s="431"/>
      <c r="AF17" s="430"/>
      <c r="AG17" s="430"/>
      <c r="AH17" s="430"/>
      <c r="AI17" s="430"/>
      <c r="AJ17" s="431"/>
      <c r="AK17" s="431"/>
      <c r="AL17" s="431"/>
      <c r="AM17" s="431"/>
      <c r="AN17" s="431"/>
    </row>
    <row r="18" ht="12.75" customHeight="1" hidden="1">
      <c r="G18" s="41">
        <f>IF(G17="Merkez",B17,G17)</f>
        <v>0</v>
      </c>
    </row>
    <row r="19" ht="5.25" customHeight="1"/>
    <row r="20" ht="5.25" customHeight="1"/>
    <row r="21" ht="11.25" customHeight="1">
      <c r="B21" s="41" t="s">
        <v>147</v>
      </c>
    </row>
    <row r="22" ht="11.25" customHeight="1">
      <c r="B22" s="41" t="s">
        <v>148</v>
      </c>
    </row>
    <row r="23" ht="6" customHeight="1"/>
    <row r="24" ht="12.75" customHeight="1">
      <c r="B24" s="137" t="s">
        <v>149</v>
      </c>
    </row>
    <row r="25" ht="4.5" customHeight="1"/>
    <row r="26" spans="2:256" s="138" customFormat="1" ht="38.25" customHeight="1">
      <c r="B26" s="432" t="s">
        <v>150</v>
      </c>
      <c r="C26" s="432"/>
      <c r="D26" s="432"/>
      <c r="E26" s="432"/>
      <c r="F26" s="432"/>
      <c r="G26" s="432" t="s">
        <v>151</v>
      </c>
      <c r="H26" s="432"/>
      <c r="I26" s="432"/>
      <c r="J26" s="432"/>
      <c r="K26" s="432" t="s">
        <v>152</v>
      </c>
      <c r="L26" s="432"/>
      <c r="M26" s="432"/>
      <c r="N26" s="432" t="s">
        <v>153</v>
      </c>
      <c r="O26" s="432"/>
      <c r="P26" s="432"/>
      <c r="Q26" s="432"/>
      <c r="R26" s="432" t="s">
        <v>154</v>
      </c>
      <c r="S26" s="432"/>
      <c r="T26" s="432"/>
      <c r="U26" s="432"/>
      <c r="V26" s="432"/>
      <c r="W26" s="432"/>
      <c r="X26" s="432"/>
      <c r="Y26" s="432" t="s">
        <v>155</v>
      </c>
      <c r="Z26" s="432"/>
      <c r="AA26" s="432"/>
      <c r="AB26" s="432"/>
      <c r="AC26" s="432"/>
      <c r="AD26" s="432" t="s">
        <v>156</v>
      </c>
      <c r="AE26" s="432"/>
      <c r="AF26" s="432"/>
      <c r="AG26" s="432"/>
      <c r="AH26" s="432"/>
      <c r="IS26"/>
      <c r="IT26"/>
      <c r="IU26"/>
      <c r="IV26"/>
    </row>
    <row r="27" spans="2:256" s="138" customFormat="1" ht="39" customHeight="1">
      <c r="B27" s="430" t="s">
        <v>157</v>
      </c>
      <c r="C27" s="430"/>
      <c r="D27" s="430"/>
      <c r="E27" s="430"/>
      <c r="F27" s="430"/>
      <c r="G27" s="430"/>
      <c r="H27" s="430"/>
      <c r="I27" s="430"/>
      <c r="J27" s="430"/>
      <c r="K27" s="430">
        <v>2</v>
      </c>
      <c r="L27" s="430"/>
      <c r="M27" s="430"/>
      <c r="N27" s="432">
        <f>'ASGARİ ÜCRET FORMU'!F21</f>
        <v>250</v>
      </c>
      <c r="O27" s="432"/>
      <c r="P27" s="432"/>
      <c r="Q27" s="432"/>
      <c r="R27" s="433" t="str">
        <f>IF('ASGARİ ÜCRET FORMU'!F22&lt;2.1,"Isı Yalıtım           Sıhhi Tesisat","Isı Yalıtım            Sıhhi Tesisatı         Kalorifer Tesısatı")</f>
        <v>Isı Yalıtım           Sıhhi Tesisat</v>
      </c>
      <c r="S27" s="433"/>
      <c r="T27" s="433"/>
      <c r="U27" s="433"/>
      <c r="V27" s="433"/>
      <c r="W27" s="433"/>
      <c r="X27" s="433"/>
      <c r="Y27" s="434"/>
      <c r="Z27" s="434"/>
      <c r="AA27" s="434"/>
      <c r="AB27" s="434"/>
      <c r="AC27" s="434"/>
      <c r="AD27" s="435">
        <f>'İNŞAAT SÜRESİ'!G23</f>
        <v>9</v>
      </c>
      <c r="AE27" s="435"/>
      <c r="AF27" s="435"/>
      <c r="AG27" s="435"/>
      <c r="AH27" s="435"/>
      <c r="IS27"/>
      <c r="IT27"/>
      <c r="IU27"/>
      <c r="IV27"/>
    </row>
    <row r="28" ht="6" customHeight="1"/>
    <row r="29" s="137" customFormat="1" ht="12.75" customHeight="1">
      <c r="B29" s="137" t="s">
        <v>158</v>
      </c>
    </row>
    <row r="30" spans="2:30" ht="11.25" customHeight="1">
      <c r="B30" s="41" t="s">
        <v>159</v>
      </c>
      <c r="X30" s="436">
        <f>'ASGARİ ÜCRET FORMU'!F48</f>
        <v>1570.58</v>
      </c>
      <c r="Y30" s="436"/>
      <c r="Z30" s="436"/>
      <c r="AA30" s="436"/>
      <c r="AB30" s="436"/>
      <c r="AC30" s="436"/>
      <c r="AD30" s="41" t="s">
        <v>160</v>
      </c>
    </row>
    <row r="31" spans="2:35" ht="11.25" customHeight="1">
      <c r="B31" s="41" t="s">
        <v>161</v>
      </c>
      <c r="D31" s="437"/>
      <c r="E31" s="437"/>
      <c r="F31" s="437"/>
      <c r="G31" s="437"/>
      <c r="H31" s="437"/>
      <c r="I31" s="437"/>
      <c r="J31" s="437"/>
      <c r="K31" s="41" t="s">
        <v>162</v>
      </c>
      <c r="Y31" s="438"/>
      <c r="Z31" s="438"/>
      <c r="AA31" s="438"/>
      <c r="AB31" s="438"/>
      <c r="AC31" s="438"/>
      <c r="AD31" s="438"/>
      <c r="AE31" s="41" t="s">
        <v>163</v>
      </c>
      <c r="AG31" s="439"/>
      <c r="AH31" s="439"/>
      <c r="AI31" s="41" t="s">
        <v>164</v>
      </c>
    </row>
    <row r="32" ht="11.25" customHeight="1">
      <c r="B32" s="41" t="s">
        <v>165</v>
      </c>
    </row>
    <row r="33" s="138" customFormat="1" ht="6" customHeight="1"/>
    <row r="34" s="137" customFormat="1" ht="12.75" customHeight="1">
      <c r="B34" s="137" t="s">
        <v>166</v>
      </c>
    </row>
    <row r="35" ht="11.25" customHeight="1">
      <c r="B35" s="41" t="s">
        <v>167</v>
      </c>
    </row>
    <row r="36" ht="5.25" customHeight="1"/>
    <row r="37" s="137" customFormat="1" ht="11.25" customHeight="1">
      <c r="B37" s="137" t="s">
        <v>168</v>
      </c>
    </row>
    <row r="38" ht="11.25" customHeight="1">
      <c r="B38" s="41" t="s">
        <v>169</v>
      </c>
    </row>
    <row r="39" ht="11.25" customHeight="1">
      <c r="B39" s="41" t="s">
        <v>170</v>
      </c>
    </row>
    <row r="40" ht="11.25" customHeight="1">
      <c r="B40" s="41" t="s">
        <v>171</v>
      </c>
    </row>
    <row r="41" ht="6" customHeight="1"/>
    <row r="42" s="137" customFormat="1" ht="12.75" customHeight="1">
      <c r="B42" s="137" t="s">
        <v>172</v>
      </c>
    </row>
    <row r="43" ht="11.25" customHeight="1">
      <c r="B43" s="41" t="s">
        <v>173</v>
      </c>
    </row>
    <row r="44" ht="11.25" customHeight="1">
      <c r="B44" s="41" t="s">
        <v>174</v>
      </c>
    </row>
    <row r="45" ht="11.25" customHeight="1">
      <c r="B45" s="41" t="s">
        <v>175</v>
      </c>
    </row>
    <row r="46" ht="11.25" customHeight="1">
      <c r="B46" s="41" t="s">
        <v>176</v>
      </c>
    </row>
    <row r="47" ht="11.25" customHeight="1">
      <c r="B47" s="41" t="s">
        <v>177</v>
      </c>
    </row>
    <row r="48" ht="6" customHeight="1"/>
    <row r="49" ht="12.75" customHeight="1">
      <c r="B49" s="137" t="s">
        <v>178</v>
      </c>
    </row>
    <row r="50" ht="11.25" customHeight="1">
      <c r="B50" s="41" t="s">
        <v>179</v>
      </c>
    </row>
    <row r="51" ht="11.25" customHeight="1">
      <c r="B51" s="41" t="s">
        <v>180</v>
      </c>
    </row>
    <row r="52" s="137" customFormat="1" ht="12.75" customHeight="1">
      <c r="B52" s="137" t="s">
        <v>181</v>
      </c>
    </row>
    <row r="53" spans="3:4" ht="11.25" customHeight="1">
      <c r="C53" s="41" t="s">
        <v>182</v>
      </c>
      <c r="D53" s="41" t="s">
        <v>183</v>
      </c>
    </row>
    <row r="54" spans="3:4" ht="11.25" customHeight="1">
      <c r="C54" s="41" t="s">
        <v>184</v>
      </c>
      <c r="D54" s="41" t="s">
        <v>185</v>
      </c>
    </row>
    <row r="55" spans="3:4" ht="11.25" customHeight="1">
      <c r="C55" s="41" t="s">
        <v>186</v>
      </c>
      <c r="D55" s="41" t="s">
        <v>187</v>
      </c>
    </row>
    <row r="56" spans="3:4" ht="11.25" customHeight="1">
      <c r="C56" s="41" t="s">
        <v>188</v>
      </c>
      <c r="D56" s="41" t="s">
        <v>189</v>
      </c>
    </row>
    <row r="57" spans="3:4" ht="11.25" customHeight="1">
      <c r="C57" s="41" t="s">
        <v>190</v>
      </c>
      <c r="D57" s="41" t="s">
        <v>191</v>
      </c>
    </row>
    <row r="58" s="148" customFormat="1" ht="12" customHeight="1">
      <c r="B58" s="148" t="s">
        <v>192</v>
      </c>
    </row>
    <row r="59" spans="3:18" ht="12.75" customHeight="1" hidden="1">
      <c r="C59" s="440">
        <f ca="1">NOW()</f>
        <v>39763.59686423611</v>
      </c>
      <c r="D59" s="440"/>
      <c r="E59" s="440"/>
      <c r="F59" s="440"/>
      <c r="H59" s="440">
        <f ca="1">NOW()</f>
        <v>39763.59686423611</v>
      </c>
      <c r="I59" s="440"/>
      <c r="J59" s="440"/>
      <c r="K59" s="440"/>
      <c r="M59" s="41">
        <f>WEEKDAY(H59,2)</f>
        <v>2</v>
      </c>
      <c r="O59" s="440">
        <f>IF(M59=6,H59+2,IF(M59=7,H59+1,H59))</f>
        <v>39763.59686423611</v>
      </c>
      <c r="P59" s="440"/>
      <c r="Q59" s="440"/>
      <c r="R59" s="440"/>
    </row>
    <row r="60" ht="11.25" customHeight="1"/>
    <row r="61" spans="6:9" ht="11.25" customHeight="1">
      <c r="F61" s="440"/>
      <c r="G61" s="440"/>
      <c r="H61" s="440"/>
      <c r="I61" s="440"/>
    </row>
    <row r="62" spans="6:9" ht="11.25" customHeight="1">
      <c r="F62" s="149"/>
      <c r="G62"/>
      <c r="H62"/>
      <c r="I62"/>
    </row>
    <row r="63" spans="6:9" ht="11.25" customHeight="1">
      <c r="F63" s="149"/>
      <c r="G63"/>
      <c r="H63"/>
      <c r="I63"/>
    </row>
    <row r="64" spans="2:44" ht="27" customHeight="1">
      <c r="B64" s="441" t="str">
        <f>CONCATENATE("   Bu sözleşme  ",DAY(O59),"/ ",MONTH(O59),"/",YEAR(O59)," tarihinde mühendis ",(F7),"  ile işveren  ",(Y7)," arasında imzalanmış olup -3- (Üç) nüsha olarak düzenlenmiştir.")</f>
        <v>   Bu sözleşme  11/ 11/2008 tarihinde mühendis   ile işveren   arasında imzalanmış olup -3- (Üç) nüsha olarak düzenlenmiştir.</v>
      </c>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row>
    <row r="65" spans="6:9" ht="11.25" customHeight="1">
      <c r="F65" s="149"/>
      <c r="G65"/>
      <c r="H65"/>
      <c r="I65"/>
    </row>
    <row r="66" spans="3:39" s="138" customFormat="1" ht="11.25" customHeight="1">
      <c r="C66" s="442" t="s">
        <v>193</v>
      </c>
      <c r="D66" s="442"/>
      <c r="E66" s="442"/>
      <c r="F66" s="442"/>
      <c r="G66" s="442"/>
      <c r="H66" s="442"/>
      <c r="I66" s="442"/>
      <c r="J66" s="442"/>
      <c r="N66" s="442">
        <f>F7</f>
        <v>0</v>
      </c>
      <c r="O66" s="442"/>
      <c r="P66" s="442"/>
      <c r="Q66" s="442"/>
      <c r="R66" s="442"/>
      <c r="S66" s="442"/>
      <c r="T66" s="442"/>
      <c r="U66" s="442"/>
      <c r="X66" s="442" t="s">
        <v>194</v>
      </c>
      <c r="Y66" s="442"/>
      <c r="Z66" s="442"/>
      <c r="AA66" s="442"/>
      <c r="AB66" s="442"/>
      <c r="AC66" s="442"/>
      <c r="AD66" s="442"/>
      <c r="AE66" s="442"/>
      <c r="AF66" s="442"/>
      <c r="AG66" s="442"/>
      <c r="AH66" s="442"/>
      <c r="AI66" s="442"/>
      <c r="AJ66" s="442"/>
      <c r="AK66" s="442"/>
      <c r="AL66" s="442"/>
      <c r="AM66" s="442"/>
    </row>
    <row r="67" spans="2:40" s="138" customFormat="1" ht="26.25" customHeight="1">
      <c r="B67" s="443">
        <f>Y7</f>
        <v>0</v>
      </c>
      <c r="C67" s="443"/>
      <c r="D67" s="443"/>
      <c r="E67" s="443"/>
      <c r="F67" s="443"/>
      <c r="G67" s="443"/>
      <c r="H67" s="443"/>
      <c r="I67" s="443"/>
      <c r="J67" s="443"/>
      <c r="K67" s="443"/>
      <c r="L67" s="150"/>
      <c r="N67" s="444" t="s">
        <v>195</v>
      </c>
      <c r="O67" s="444"/>
      <c r="P67" s="444"/>
      <c r="Q67" s="444"/>
      <c r="R67" s="444"/>
      <c r="S67" s="444"/>
      <c r="T67" s="444"/>
      <c r="Z67" s="445" t="s">
        <v>196</v>
      </c>
      <c r="AA67" s="445"/>
      <c r="AB67" s="445"/>
      <c r="AC67" s="445"/>
      <c r="AD67" s="445"/>
      <c r="AE67" s="445"/>
      <c r="AF67" s="445"/>
      <c r="AG67" s="445"/>
      <c r="AH67" s="445"/>
      <c r="AI67" s="445"/>
      <c r="AJ67" s="445"/>
      <c r="AK67" s="445"/>
      <c r="AL67" s="151"/>
      <c r="AM67" s="151"/>
      <c r="AN67" s="151"/>
    </row>
    <row r="69" spans="22:25" ht="9.75" customHeight="1">
      <c r="V69" s="439"/>
      <c r="W69" s="439"/>
      <c r="X69" s="439"/>
      <c r="Y69" s="439"/>
    </row>
    <row r="70" spans="15:32" ht="19.5" customHeight="1">
      <c r="O70"/>
      <c r="W70" s="152"/>
      <c r="X70"/>
      <c r="AD70" s="439"/>
      <c r="AE70" s="439"/>
      <c r="AF70" s="439"/>
    </row>
    <row r="72" spans="27:31" ht="9.75" customHeight="1">
      <c r="AA72" s="439"/>
      <c r="AB72" s="439"/>
      <c r="AC72" s="439"/>
      <c r="AD72" s="439"/>
      <c r="AE72" s="439"/>
    </row>
  </sheetData>
  <mergeCells count="60">
    <mergeCell ref="AD70:AF70"/>
    <mergeCell ref="AA72:AE72"/>
    <mergeCell ref="B67:K67"/>
    <mergeCell ref="N67:T67"/>
    <mergeCell ref="Z67:AK67"/>
    <mergeCell ref="V69:Y69"/>
    <mergeCell ref="B64:AR64"/>
    <mergeCell ref="C66:J66"/>
    <mergeCell ref="N66:U66"/>
    <mergeCell ref="X66:AM66"/>
    <mergeCell ref="C59:F59"/>
    <mergeCell ref="H59:K59"/>
    <mergeCell ref="O59:R59"/>
    <mergeCell ref="F61:I61"/>
    <mergeCell ref="X30:AC30"/>
    <mergeCell ref="D31:J31"/>
    <mergeCell ref="Y31:AD31"/>
    <mergeCell ref="AG31:AH31"/>
    <mergeCell ref="R26:X26"/>
    <mergeCell ref="Y26:AC26"/>
    <mergeCell ref="AD26:AH26"/>
    <mergeCell ref="B27:F27"/>
    <mergeCell ref="G27:J27"/>
    <mergeCell ref="K27:M27"/>
    <mergeCell ref="N27:Q27"/>
    <mergeCell ref="R27:X27"/>
    <mergeCell ref="Y27:AC27"/>
    <mergeCell ref="AD27:AH27"/>
    <mergeCell ref="B26:F26"/>
    <mergeCell ref="G26:J26"/>
    <mergeCell ref="K26:M26"/>
    <mergeCell ref="N26:Q26"/>
    <mergeCell ref="AA16:AE16"/>
    <mergeCell ref="AF16:AI16"/>
    <mergeCell ref="AJ16:AN16"/>
    <mergeCell ref="B17:F17"/>
    <mergeCell ref="G17:J17"/>
    <mergeCell ref="K17:Q17"/>
    <mergeCell ref="R17:Z17"/>
    <mergeCell ref="AA17:AE17"/>
    <mergeCell ref="AF17:AI17"/>
    <mergeCell ref="AJ17:AN17"/>
    <mergeCell ref="B16:F16"/>
    <mergeCell ref="G16:J16"/>
    <mergeCell ref="K16:Q16"/>
    <mergeCell ref="R16:Z16"/>
    <mergeCell ref="B10:E10"/>
    <mergeCell ref="F10:G10"/>
    <mergeCell ref="Y10:AJ10"/>
    <mergeCell ref="B11:E11"/>
    <mergeCell ref="F11:R11"/>
    <mergeCell ref="B8:E8"/>
    <mergeCell ref="F8:J8"/>
    <mergeCell ref="B9:E9"/>
    <mergeCell ref="Y9:AJ9"/>
    <mergeCell ref="B1:AF1"/>
    <mergeCell ref="AG1:AN1"/>
    <mergeCell ref="B2:AF2"/>
    <mergeCell ref="B7:E7"/>
    <mergeCell ref="Y7:AL7"/>
  </mergeCells>
  <dataValidations count="1">
    <dataValidation type="list" operator="equal" allowBlank="1" sqref="G17">
      <formula1>"Merkez,Keşan,Uzunköprü,Süleoğlu,Havsa,Lalapaşa,Meriç,İpsala,Enez"</formula1>
    </dataValidation>
  </dataValidations>
  <printOptions/>
  <pageMargins left="0.8659722222222223" right="0.20972222222222223" top="0.43333333333333335" bottom="0.5298611111111111" header="0.5118055555555556" footer="0.5118055555555556"/>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75"/>
  <sheetViews>
    <sheetView showZeros="0" workbookViewId="0" topLeftCell="A1">
      <selection activeCell="D7" sqref="D7"/>
    </sheetView>
  </sheetViews>
  <sheetFormatPr defaultColWidth="9.140625" defaultRowHeight="12.75"/>
  <cols>
    <col min="1" max="1" width="0.9921875" style="0" customWidth="1"/>
    <col min="2" max="2" width="11.28125" style="0" customWidth="1"/>
    <col min="3" max="3" width="15.8515625" style="0" customWidth="1"/>
    <col min="4" max="4" width="12.421875" style="0" customWidth="1"/>
    <col min="5" max="5" width="14.140625" style="0" customWidth="1"/>
    <col min="6" max="6" width="6.8515625" style="0" customWidth="1"/>
    <col min="7" max="7" width="9.7109375" style="0" customWidth="1"/>
    <col min="8" max="8" width="1.1484375" style="0" customWidth="1"/>
    <col min="9" max="9" width="14.140625" style="0" customWidth="1"/>
    <col min="10" max="10" width="7.00390625" style="0" customWidth="1"/>
    <col min="11" max="11" width="9.57421875" style="0" customWidth="1"/>
    <col min="12" max="12" width="14.7109375" style="0" customWidth="1"/>
    <col min="13" max="16384" width="9.00390625" style="0" customWidth="1"/>
  </cols>
  <sheetData>
    <row r="1" spans="2:12" ht="44.25" customHeight="1">
      <c r="B1" s="446" t="s">
        <v>197</v>
      </c>
      <c r="C1" s="446"/>
      <c r="D1" s="446"/>
      <c r="E1" s="446"/>
      <c r="F1" s="446"/>
      <c r="G1" s="446"/>
      <c r="H1" s="446"/>
      <c r="I1" s="446"/>
      <c r="J1" s="446"/>
      <c r="K1" s="446"/>
      <c r="L1" s="446"/>
    </row>
    <row r="2" spans="2:12" ht="31.5" customHeight="1">
      <c r="B2" s="446" t="s">
        <v>198</v>
      </c>
      <c r="C2" s="446"/>
      <c r="D2" s="446"/>
      <c r="E2" s="446"/>
      <c r="F2" s="446"/>
      <c r="G2" s="446"/>
      <c r="H2" s="446"/>
      <c r="I2" s="446"/>
      <c r="J2" s="446"/>
      <c r="K2" s="446"/>
      <c r="L2" s="446"/>
    </row>
    <row r="3" ht="12.75" customHeight="1">
      <c r="B3" s="153"/>
    </row>
    <row r="4" ht="15">
      <c r="B4" s="154" t="s">
        <v>199</v>
      </c>
    </row>
    <row r="5" ht="12.75" customHeight="1">
      <c r="B5" s="155"/>
    </row>
    <row r="6" spans="2:12" s="49" customFormat="1" ht="12.75" customHeight="1">
      <c r="B6" s="447" t="s">
        <v>200</v>
      </c>
      <c r="C6" s="447"/>
      <c r="D6" s="156"/>
      <c r="E6" s="157"/>
      <c r="F6" s="157"/>
      <c r="G6" s="158"/>
      <c r="H6" s="158"/>
      <c r="I6" s="159" t="s">
        <v>201</v>
      </c>
      <c r="J6" s="157"/>
      <c r="K6" s="160"/>
      <c r="L6" s="160"/>
    </row>
    <row r="7" spans="2:10" s="49" customFormat="1" ht="12.75" customHeight="1">
      <c r="B7" s="447" t="s">
        <v>202</v>
      </c>
      <c r="C7" s="447"/>
      <c r="D7" s="156"/>
      <c r="E7" s="157"/>
      <c r="F7" s="157"/>
      <c r="G7" s="161"/>
      <c r="H7" s="161"/>
      <c r="I7" s="159" t="s">
        <v>112</v>
      </c>
      <c r="J7" s="162"/>
    </row>
    <row r="8" spans="2:10" s="49" customFormat="1" ht="12.75" customHeight="1">
      <c r="B8" s="447" t="s">
        <v>203</v>
      </c>
      <c r="C8" s="447"/>
      <c r="D8" s="163"/>
      <c r="E8" s="157"/>
      <c r="F8" s="158"/>
      <c r="G8" s="158"/>
      <c r="H8" s="158"/>
      <c r="I8" s="159" t="s">
        <v>113</v>
      </c>
      <c r="J8" s="164"/>
    </row>
    <row r="9" spans="2:10" s="49" customFormat="1" ht="26.25" customHeight="1">
      <c r="B9" s="448" t="s">
        <v>204</v>
      </c>
      <c r="C9" s="448"/>
      <c r="D9" s="449"/>
      <c r="E9" s="449"/>
      <c r="F9" s="449"/>
      <c r="G9" s="157"/>
      <c r="H9" s="157"/>
      <c r="I9" s="165" t="s">
        <v>114</v>
      </c>
      <c r="J9" s="166"/>
    </row>
    <row r="10" spans="2:12" s="49" customFormat="1" ht="12.75" customHeight="1">
      <c r="B10" s="450" t="s">
        <v>205</v>
      </c>
      <c r="C10" s="450"/>
      <c r="D10" s="156"/>
      <c r="E10" s="157"/>
      <c r="F10" s="157"/>
      <c r="G10" s="157"/>
      <c r="H10" s="157"/>
      <c r="I10" s="159" t="s">
        <v>206</v>
      </c>
      <c r="J10" s="160"/>
      <c r="K10" s="160"/>
      <c r="L10" s="160"/>
    </row>
    <row r="11" s="167" customFormat="1" ht="12.75" customHeight="1"/>
    <row r="12" ht="12.75">
      <c r="B12" s="137" t="s">
        <v>207</v>
      </c>
    </row>
    <row r="13" spans="6:10" ht="12.75" customHeight="1">
      <c r="F13" s="11"/>
      <c r="G13" s="11"/>
      <c r="H13" s="11"/>
      <c r="I13" s="11"/>
      <c r="J13" s="11"/>
    </row>
    <row r="14" spans="2:12" ht="12.75" customHeight="1">
      <c r="B14" s="168" t="s">
        <v>208</v>
      </c>
      <c r="C14" s="168"/>
      <c r="D14" s="168"/>
      <c r="E14" s="168"/>
      <c r="F14" s="168"/>
      <c r="G14" s="168"/>
      <c r="H14" s="168"/>
      <c r="I14" s="168"/>
      <c r="J14" s="168"/>
      <c r="K14" s="169" t="s">
        <v>209</v>
      </c>
      <c r="L14" s="11"/>
    </row>
    <row r="15" spans="2:12" ht="12.75" customHeight="1">
      <c r="B15" s="170" t="s">
        <v>210</v>
      </c>
      <c r="C15" s="11"/>
      <c r="D15" s="11"/>
      <c r="E15" s="11"/>
      <c r="F15" s="11"/>
      <c r="G15" s="11"/>
      <c r="H15" s="11"/>
      <c r="I15" s="11"/>
      <c r="J15" s="11"/>
      <c r="K15" s="7" t="s">
        <v>211</v>
      </c>
      <c r="L15" s="11"/>
    </row>
    <row r="16" spans="2:12" ht="12.75" customHeight="1">
      <c r="B16" s="138" t="s">
        <v>212</v>
      </c>
      <c r="F16" s="11"/>
      <c r="G16" s="11"/>
      <c r="H16" s="11"/>
      <c r="I16" s="11"/>
      <c r="J16" s="11"/>
      <c r="K16" s="11"/>
      <c r="L16" s="11"/>
    </row>
    <row r="17" spans="6:10" ht="12.75" customHeight="1">
      <c r="F17" s="11"/>
      <c r="G17" s="11"/>
      <c r="H17" s="11"/>
      <c r="I17" s="11"/>
      <c r="J17" s="11"/>
    </row>
    <row r="18" spans="2:9" s="49" customFormat="1" ht="12.75" customHeight="1">
      <c r="B18" s="160"/>
      <c r="C18" s="171"/>
      <c r="D18" s="172"/>
      <c r="E18" s="172" t="s">
        <v>213</v>
      </c>
      <c r="F18" s="173">
        <v>1</v>
      </c>
      <c r="G18" s="171"/>
      <c r="H18" s="171"/>
      <c r="I18" s="171"/>
    </row>
    <row r="19" spans="2:9" s="49" customFormat="1" ht="12.75" customHeight="1">
      <c r="B19" s="450" t="s">
        <v>214</v>
      </c>
      <c r="C19" s="450"/>
      <c r="D19" s="450"/>
      <c r="E19" s="450"/>
      <c r="F19" s="174">
        <v>250</v>
      </c>
      <c r="G19" s="160" t="s">
        <v>71</v>
      </c>
      <c r="H19" s="160"/>
      <c r="I19" s="171"/>
    </row>
    <row r="20" spans="2:9" s="49" customFormat="1" ht="12.75" customHeight="1" hidden="1">
      <c r="B20" s="175"/>
      <c r="C20" s="450" t="s">
        <v>70</v>
      </c>
      <c r="D20" s="450"/>
      <c r="E20" s="450"/>
      <c r="F20" s="176">
        <f>IF(F19&lt;'A_Ü_2008 2_dönem'!P130,'A_Ü_2008 2_dönem'!P130,F19)</f>
        <v>250</v>
      </c>
      <c r="G20" s="160" t="s">
        <v>71</v>
      </c>
      <c r="H20" s="160"/>
      <c r="I20" s="160"/>
    </row>
    <row r="21" spans="2:9" s="49" customFormat="1" ht="12.75" customHeight="1">
      <c r="B21" s="450" t="s">
        <v>215</v>
      </c>
      <c r="C21" s="450"/>
      <c r="D21" s="450"/>
      <c r="E21" s="450"/>
      <c r="F21" s="177">
        <f>F19*F18</f>
        <v>250</v>
      </c>
      <c r="G21" s="160" t="s">
        <v>71</v>
      </c>
      <c r="H21" s="160"/>
      <c r="I21" s="160"/>
    </row>
    <row r="22" spans="2:9" s="49" customFormat="1" ht="12.75" customHeight="1">
      <c r="B22" s="178"/>
      <c r="C22" s="178"/>
      <c r="D22" s="450" t="s">
        <v>216</v>
      </c>
      <c r="E22" s="450"/>
      <c r="F22" s="179">
        <v>2</v>
      </c>
      <c r="G22" s="160"/>
      <c r="H22" s="160"/>
      <c r="I22" s="160"/>
    </row>
    <row r="23" spans="2:10" ht="12.75" customHeight="1">
      <c r="B23" s="180"/>
      <c r="C23" s="180"/>
      <c r="D23" s="180"/>
      <c r="E23" s="181"/>
      <c r="F23" s="181"/>
      <c r="G23" s="181"/>
      <c r="H23" s="181"/>
      <c r="I23" s="152"/>
      <c r="J23" s="152"/>
    </row>
    <row r="24" spans="2:9" ht="12.75" customHeight="1" hidden="1">
      <c r="B24" s="180"/>
      <c r="C24" s="180"/>
      <c r="D24" s="180"/>
      <c r="E24" s="182" t="s">
        <v>217</v>
      </c>
      <c r="I24" s="182" t="s">
        <v>218</v>
      </c>
    </row>
    <row r="25" spans="2:10" s="183" customFormat="1" ht="12.75" hidden="1">
      <c r="B25" s="184">
        <f>LOOKUP($F$20,'A_Ü_2008 2_dönem'!$A$3:$A$125)</f>
        <v>250</v>
      </c>
      <c r="C25" s="185">
        <f>LOOKUP(F20,'A_Ü_2008 2_dönem'!$A$4:$A$125,'A_Ü_2008 2_dönem'!$G$4:$G$125)</f>
        <v>6</v>
      </c>
      <c r="D25" s="186">
        <f>HLOOKUP($F$22,'A_Ü_2008 2_dönem'!$H$1:$S$2,2,FALSE)</f>
        <v>245</v>
      </c>
      <c r="E25" s="187">
        <f>VLOOKUP($B$25,'A_Ü_2008 2_dönem'!$A$3:$F$125,LEFT(F22,1)+1)/100</f>
        <v>0.0493</v>
      </c>
      <c r="F25" s="188"/>
      <c r="G25" s="189"/>
      <c r="H25" s="189"/>
      <c r="I25" s="190">
        <f>E25*0.01</f>
        <v>0.000493</v>
      </c>
      <c r="J25" s="191"/>
    </row>
    <row r="26" spans="2:11" s="183" customFormat="1" ht="12.75" hidden="1">
      <c r="B26" s="184">
        <f>LOOKUP($C$26,'A_Ü_2008 2_dönem'!$G$4:$G$125,'A_Ü_2008 2_dönem'!$A$4:$A$125)</f>
        <v>300</v>
      </c>
      <c r="C26" s="185">
        <f>C25+1</f>
        <v>7</v>
      </c>
      <c r="D26" s="186">
        <f>HLOOKUP(F$22,'A_Ü_2008 2_dönem'!$H$1:$S$2,2,FALSE)</f>
        <v>245</v>
      </c>
      <c r="E26" s="187">
        <f>VLOOKUP($B$26,'A_Ü_2008 2_dönem'!$A$3:$F$125,LEFT(F22,1)+1)/100</f>
        <v>0.0484</v>
      </c>
      <c r="I26" s="192">
        <f>E26*0.01</f>
        <v>0.000484</v>
      </c>
      <c r="J26" s="193"/>
      <c r="K26"/>
    </row>
    <row r="27" spans="2:11" s="183" customFormat="1" ht="38.25" customHeight="1">
      <c r="B27" s="182" t="s">
        <v>219</v>
      </c>
      <c r="C27" s="194" t="s">
        <v>220</v>
      </c>
      <c r="D27" s="182" t="s">
        <v>221</v>
      </c>
      <c r="E27" s="194" t="s">
        <v>222</v>
      </c>
      <c r="F27" s="182" t="s">
        <v>223</v>
      </c>
      <c r="G27" s="182" t="s">
        <v>224</v>
      </c>
      <c r="H27" s="451" t="s">
        <v>225</v>
      </c>
      <c r="I27" s="451"/>
      <c r="J27" s="451" t="s">
        <v>226</v>
      </c>
      <c r="K27" s="451"/>
    </row>
    <row r="28" spans="2:12" s="183" customFormat="1" ht="12.75" customHeight="1">
      <c r="B28" s="184">
        <f>$F$20</f>
        <v>250</v>
      </c>
      <c r="C28" s="195">
        <f>HLOOKUP($F$22,'A_Ü_2008 2_dönem'!$H$1:$S$2,2,FALSE)</f>
        <v>245</v>
      </c>
      <c r="D28" s="187">
        <f>$E$25-($F$20-$B$25)*($E$25-$E$26)/($B$26-$B$25)</f>
        <v>0.0493</v>
      </c>
      <c r="E28" s="196">
        <v>0.5</v>
      </c>
      <c r="F28" s="197">
        <v>0.5</v>
      </c>
      <c r="G28" s="197">
        <v>0.6</v>
      </c>
      <c r="H28" s="452">
        <v>1</v>
      </c>
      <c r="I28" s="452"/>
      <c r="J28" s="453">
        <f>ROUND(B28*C28*D28*E28*F28*G28*H28,0)</f>
        <v>453</v>
      </c>
      <c r="K28" s="453"/>
      <c r="L28" s="16"/>
    </row>
    <row r="29" spans="2:12" s="183" customFormat="1" ht="12.75">
      <c r="B29" s="198"/>
      <c r="C29" s="198"/>
      <c r="D29" s="198"/>
      <c r="E29" s="198"/>
      <c r="F29" s="199"/>
      <c r="G29" s="16"/>
      <c r="H29" s="16"/>
      <c r="I29" s="16"/>
      <c r="J29" s="16"/>
      <c r="K29" s="16"/>
      <c r="L29" s="16"/>
    </row>
    <row r="30" spans="2:12" s="183" customFormat="1" ht="12.75" hidden="1">
      <c r="B30" s="198"/>
      <c r="C30" s="198"/>
      <c r="D30" s="198"/>
      <c r="E30" s="198"/>
      <c r="F30" s="199"/>
      <c r="G30" s="16"/>
      <c r="H30" s="16"/>
      <c r="I30" s="16"/>
      <c r="J30" s="16"/>
      <c r="K30" s="16"/>
      <c r="L30" s="16"/>
    </row>
    <row r="31" spans="2:7" s="183" customFormat="1" ht="12.75" hidden="1">
      <c r="B31" s="198"/>
      <c r="C31" s="198" t="str">
        <f>CONCATENATE("4.Uygulama ve üzeri - ",(F18-3)," Adet : ")</f>
        <v>4.Uygulama ve üzeri - -2 Adet : </v>
      </c>
      <c r="D31" s="198"/>
      <c r="E31" s="198"/>
      <c r="F31" s="199"/>
      <c r="G31" s="16"/>
    </row>
    <row r="32" spans="2:7" s="183" customFormat="1" ht="12.75">
      <c r="B32" s="198"/>
      <c r="C32" s="198"/>
      <c r="D32" s="198"/>
      <c r="E32" s="198"/>
      <c r="F32" s="199"/>
      <c r="G32" s="16"/>
    </row>
    <row r="33" spans="2:12" s="183" customFormat="1" ht="12.75" customHeight="1">
      <c r="B33" s="200"/>
      <c r="C33" s="201"/>
      <c r="D33" s="454" t="s">
        <v>227</v>
      </c>
      <c r="E33" s="454"/>
      <c r="F33" s="202"/>
      <c r="G33" s="455" t="s">
        <v>228</v>
      </c>
      <c r="H33" s="455"/>
      <c r="I33" s="455"/>
      <c r="J33" s="203"/>
      <c r="K33" s="455" t="s">
        <v>229</v>
      </c>
      <c r="L33" s="455"/>
    </row>
    <row r="34" spans="2:12" s="204" customFormat="1" ht="12.75" customHeight="1">
      <c r="B34" s="205"/>
      <c r="C34" s="206"/>
      <c r="D34" s="207">
        <f>F18</f>
        <v>1</v>
      </c>
      <c r="E34" s="208" t="s">
        <v>230</v>
      </c>
      <c r="F34" s="209"/>
      <c r="G34" s="210">
        <f>F18</f>
        <v>1</v>
      </c>
      <c r="H34" s="456" t="s">
        <v>230</v>
      </c>
      <c r="I34" s="456"/>
      <c r="J34" s="211"/>
      <c r="K34" s="212">
        <f>F18</f>
        <v>1</v>
      </c>
      <c r="L34" s="208" t="s">
        <v>230</v>
      </c>
    </row>
    <row r="35" spans="1:12" s="204" customFormat="1" ht="34.5" customHeight="1">
      <c r="A35" s="213"/>
      <c r="B35" s="457" t="s">
        <v>231</v>
      </c>
      <c r="C35" s="457"/>
      <c r="D35" s="214" t="s">
        <v>232</v>
      </c>
      <c r="E35" s="215" t="s">
        <v>233</v>
      </c>
      <c r="F35" s="216"/>
      <c r="G35" s="215" t="s">
        <v>232</v>
      </c>
      <c r="H35" s="458" t="s">
        <v>228</v>
      </c>
      <c r="I35" s="458"/>
      <c r="J35" s="216"/>
      <c r="K35" s="215" t="s">
        <v>232</v>
      </c>
      <c r="L35" s="217" t="s">
        <v>234</v>
      </c>
    </row>
    <row r="36" spans="1:12" s="183" customFormat="1" ht="12.75" customHeight="1">
      <c r="A36" s="218"/>
      <c r="B36" s="459" t="s">
        <v>235</v>
      </c>
      <c r="C36" s="459"/>
      <c r="D36" s="219">
        <f>IF($D$34=0,0,100%)</f>
        <v>1</v>
      </c>
      <c r="E36" s="220">
        <f>IF($D$34=0,0,$J$28*D36)</f>
        <v>453</v>
      </c>
      <c r="F36" s="221"/>
      <c r="G36" s="219">
        <f>IF($G$34=0,0,100%)</f>
        <v>1</v>
      </c>
      <c r="H36" s="460">
        <f>IF($G$34=0,0,$J$28*G36)</f>
        <v>453</v>
      </c>
      <c r="I36" s="460"/>
      <c r="J36" s="222"/>
      <c r="K36" s="219">
        <f>IF($K$34=0,0,100%)</f>
        <v>1</v>
      </c>
      <c r="L36" s="220">
        <f>IF(K34=0,0,'A_Ü_2008 2_dönem'!P128)</f>
        <v>425</v>
      </c>
    </row>
    <row r="37" spans="1:12" s="183" customFormat="1" ht="12.75" customHeight="1">
      <c r="A37" s="218"/>
      <c r="B37" s="461">
        <f>IF($D$34&lt;2,0,"2. Uygulama : ")</f>
        <v>0</v>
      </c>
      <c r="C37" s="461"/>
      <c r="D37" s="219">
        <f>IF($D$34&lt;2,0,50%)</f>
        <v>0</v>
      </c>
      <c r="E37" s="220">
        <f>IF($D$34&gt;=2,$E$36*D37,0)</f>
        <v>0</v>
      </c>
      <c r="F37" s="221"/>
      <c r="G37" s="219">
        <f>IF($G$34&lt;2,0,100%)</f>
        <v>0</v>
      </c>
      <c r="H37" s="460">
        <f>IF($G$34&gt;=2,$H$36*G37,0)</f>
        <v>0</v>
      </c>
      <c r="I37" s="460"/>
      <c r="J37" s="222"/>
      <c r="K37" s="219">
        <f>IF($K$34&lt;2,0,50%)</f>
        <v>0</v>
      </c>
      <c r="L37" s="220">
        <f>IF($K$34&gt;=2,$L$36*K37,0)</f>
        <v>0</v>
      </c>
    </row>
    <row r="38" spans="1:12" s="183" customFormat="1" ht="12.75" customHeight="1">
      <c r="A38" s="218"/>
      <c r="B38" s="461">
        <f>IF($D$34&lt;3,0,"3. Uygulama : ")</f>
        <v>0</v>
      </c>
      <c r="C38" s="461"/>
      <c r="D38" s="219">
        <f>IF($D$34&lt;3,0,25%)</f>
        <v>0</v>
      </c>
      <c r="E38" s="220">
        <f>IF($D$34&gt;=3,$E$36*D38,0)</f>
        <v>0</v>
      </c>
      <c r="F38" s="221"/>
      <c r="G38" s="219">
        <f>IF($G$34&lt;3,0,100%)</f>
        <v>0</v>
      </c>
      <c r="H38" s="460">
        <f>IF($G$34&gt;=3,$H$36*G38,0)</f>
        <v>0</v>
      </c>
      <c r="I38" s="460"/>
      <c r="J38" s="222"/>
      <c r="K38" s="219">
        <f>IF($K$34&lt;3,0,25%)</f>
        <v>0</v>
      </c>
      <c r="L38" s="220">
        <f>IF($K$34&gt;=3,$L$36*K38,0)</f>
        <v>0</v>
      </c>
    </row>
    <row r="39" spans="1:12" s="183" customFormat="1" ht="12.75" customHeight="1">
      <c r="A39" s="218"/>
      <c r="B39" s="462">
        <f>IF($D$34&lt;4,0,C31)</f>
        <v>0</v>
      </c>
      <c r="C39" s="462"/>
      <c r="D39" s="223">
        <f>IF($D$34&lt;4,0,15%)</f>
        <v>0</v>
      </c>
      <c r="E39" s="220">
        <f>IF($D$34&gt;=4,$E$36*D39*($D$34-3),0)</f>
        <v>0</v>
      </c>
      <c r="F39" s="224"/>
      <c r="G39" s="219">
        <f>IF($G$34&lt;4,0,100%)</f>
        <v>0</v>
      </c>
      <c r="H39" s="460">
        <f>IF($G$34&gt;=4,$H$36*G39*($G$34-3),0)</f>
        <v>0</v>
      </c>
      <c r="I39" s="460"/>
      <c r="J39" s="225"/>
      <c r="K39" s="221">
        <f>IF($K$34&lt;4,0,15%)</f>
        <v>0</v>
      </c>
      <c r="L39" s="220">
        <f>IF($K$34&gt;=4,$L$36*K39*($K$34-3),0)</f>
        <v>0</v>
      </c>
    </row>
    <row r="40" spans="2:12" s="183" customFormat="1" ht="12.75" customHeight="1">
      <c r="B40" s="16"/>
      <c r="C40" s="226"/>
      <c r="D40" s="227" t="str">
        <f>IF($D$34=0,0,D41)</f>
        <v>Toplam     =</v>
      </c>
      <c r="E40" s="228">
        <f>SUM(E36:E39)</f>
        <v>453</v>
      </c>
      <c r="F40" s="229"/>
      <c r="G40" s="227" t="str">
        <f>IF(G34=0,0,G41)</f>
        <v>Toplam   =</v>
      </c>
      <c r="H40" s="463">
        <f>SUM(H36:H39)</f>
        <v>453</v>
      </c>
      <c r="I40" s="463"/>
      <c r="J40" s="229"/>
      <c r="K40" s="227" t="str">
        <f>IF(K34=0,0,K41)</f>
        <v>Toplam   =</v>
      </c>
      <c r="L40" s="228">
        <f>SUM(L36:L39)</f>
        <v>425</v>
      </c>
    </row>
    <row r="41" spans="2:12" s="183" customFormat="1" ht="12.75" customHeight="1" hidden="1">
      <c r="B41" s="16"/>
      <c r="C41" s="230"/>
      <c r="D41" s="231" t="s">
        <v>236</v>
      </c>
      <c r="E41" s="228"/>
      <c r="F41" s="230"/>
      <c r="G41" s="231" t="s">
        <v>237</v>
      </c>
      <c r="H41" s="227"/>
      <c r="I41" s="228"/>
      <c r="J41" s="230"/>
      <c r="K41" s="231" t="s">
        <v>237</v>
      </c>
      <c r="L41" s="228"/>
    </row>
    <row r="42" spans="4:12" ht="12.75">
      <c r="D42" s="232"/>
      <c r="E42" s="232"/>
      <c r="F42" s="232"/>
      <c r="G42" s="232"/>
      <c r="H42" s="232"/>
      <c r="I42" s="232"/>
      <c r="J42" s="232"/>
      <c r="K42" s="11"/>
      <c r="L42" s="233"/>
    </row>
    <row r="43" spans="2:12" ht="12.75" customHeight="1">
      <c r="B43" s="464" t="s">
        <v>238</v>
      </c>
      <c r="C43" s="464"/>
      <c r="D43" s="464"/>
      <c r="E43" s="464"/>
      <c r="F43" s="465">
        <f>E40</f>
        <v>453</v>
      </c>
      <c r="G43" s="465"/>
      <c r="H43" s="234"/>
      <c r="I43" s="235"/>
      <c r="J43" s="236"/>
      <c r="K43" s="236"/>
      <c r="L43" s="183"/>
    </row>
    <row r="44" spans="2:12" ht="12.75" customHeight="1">
      <c r="B44" s="237"/>
      <c r="C44" s="237"/>
      <c r="D44" s="237"/>
      <c r="E44" s="164" t="s">
        <v>239</v>
      </c>
      <c r="F44" s="465">
        <f>H40</f>
        <v>453</v>
      </c>
      <c r="G44" s="465"/>
      <c r="H44" s="234"/>
      <c r="I44" s="235"/>
      <c r="J44" s="236"/>
      <c r="K44" s="236"/>
      <c r="L44" s="183"/>
    </row>
    <row r="45" spans="2:12" ht="12.75" customHeight="1">
      <c r="B45" s="464" t="s">
        <v>240</v>
      </c>
      <c r="C45" s="464"/>
      <c r="D45" s="464"/>
      <c r="E45" s="464"/>
      <c r="F45" s="465">
        <f>L40</f>
        <v>425</v>
      </c>
      <c r="G45" s="465"/>
      <c r="H45" s="238"/>
      <c r="I45" s="235"/>
      <c r="J45" s="236"/>
      <c r="K45" s="236"/>
      <c r="L45" s="183"/>
    </row>
    <row r="46" spans="2:12" ht="12.75" customHeight="1">
      <c r="B46" s="11"/>
      <c r="C46" s="11"/>
      <c r="D46" s="239"/>
      <c r="E46" s="239" t="s">
        <v>241</v>
      </c>
      <c r="F46" s="466">
        <f>SUM(F43:J45)</f>
        <v>1331</v>
      </c>
      <c r="G46" s="466"/>
      <c r="H46" s="234"/>
      <c r="I46" s="235"/>
      <c r="J46" s="236"/>
      <c r="K46" s="236"/>
      <c r="L46" s="183"/>
    </row>
    <row r="47" spans="2:11" s="183" customFormat="1" ht="12.75" customHeight="1">
      <c r="B47" s="16"/>
      <c r="C47" s="240"/>
      <c r="D47" s="240" t="s">
        <v>242</v>
      </c>
      <c r="E47" s="241">
        <v>0.18</v>
      </c>
      <c r="F47" s="465">
        <f>E47*F46</f>
        <v>239.57999999999998</v>
      </c>
      <c r="G47" s="465"/>
      <c r="H47" s="234"/>
      <c r="I47" s="235"/>
      <c r="J47" s="236"/>
      <c r="K47" s="236"/>
    </row>
    <row r="48" spans="2:10" s="183" customFormat="1" ht="12.75" customHeight="1">
      <c r="B48" s="16"/>
      <c r="C48" s="16"/>
      <c r="D48" s="16"/>
      <c r="E48" s="240" t="s">
        <v>243</v>
      </c>
      <c r="F48" s="467">
        <f>SUM(F46:J47)</f>
        <v>1570.58</v>
      </c>
      <c r="G48" s="467"/>
      <c r="H48" s="242"/>
      <c r="I48" s="236"/>
      <c r="J48" s="236"/>
    </row>
    <row r="50" spans="2:4" ht="12.75" customHeight="1">
      <c r="B50" s="243" t="s">
        <v>244</v>
      </c>
      <c r="C50" s="244"/>
      <c r="D50" s="244"/>
    </row>
    <row r="51" spans="2:4" ht="12.75" customHeight="1">
      <c r="B51" s="244"/>
      <c r="C51" s="244"/>
      <c r="D51" s="244"/>
    </row>
    <row r="52" spans="2:7" ht="12.75" customHeight="1">
      <c r="B52" s="245" t="s">
        <v>245</v>
      </c>
      <c r="C52" s="246"/>
      <c r="D52" s="247"/>
      <c r="E52" s="237"/>
      <c r="F52" s="237"/>
      <c r="G52" s="237"/>
    </row>
    <row r="53" spans="2:9" ht="12.75" customHeight="1">
      <c r="B53" s="245" t="s">
        <v>246</v>
      </c>
      <c r="C53" s="248"/>
      <c r="D53" s="247"/>
      <c r="E53" s="237"/>
      <c r="F53" s="237"/>
      <c r="G53" s="237"/>
      <c r="H53" s="11"/>
      <c r="I53" s="11"/>
    </row>
    <row r="54" spans="2:12" ht="12.75" customHeight="1">
      <c r="B54" s="245" t="s">
        <v>247</v>
      </c>
      <c r="C54" s="248"/>
      <c r="D54" s="247"/>
      <c r="E54" s="237"/>
      <c r="F54" s="237"/>
      <c r="G54" s="237"/>
      <c r="L54" s="11"/>
    </row>
    <row r="55" spans="2:12" ht="12.75" customHeight="1">
      <c r="B55" s="249"/>
      <c r="C55" s="249"/>
      <c r="D55" s="250"/>
      <c r="E55" s="250"/>
      <c r="F55" s="251"/>
      <c r="G55" s="251"/>
      <c r="H55" s="251"/>
      <c r="I55" s="252"/>
      <c r="J55" s="252"/>
      <c r="K55" s="252"/>
      <c r="L55" s="252"/>
    </row>
    <row r="56" spans="2:9" s="183" customFormat="1" ht="12.75" customHeight="1" hidden="1">
      <c r="B56" s="182" t="s">
        <v>219</v>
      </c>
      <c r="C56" s="253" t="s">
        <v>248</v>
      </c>
      <c r="D56" s="182" t="s">
        <v>221</v>
      </c>
      <c r="E56" s="182" t="s">
        <v>224</v>
      </c>
      <c r="F56" s="451" t="s">
        <v>225</v>
      </c>
      <c r="G56" s="451"/>
      <c r="H56" s="254"/>
      <c r="I56" s="182" t="s">
        <v>249</v>
      </c>
    </row>
    <row r="57" spans="2:10" s="183" customFormat="1" ht="12.75" hidden="1">
      <c r="B57" s="184">
        <f>IF(F19&lt;150,150,F19)</f>
        <v>250</v>
      </c>
      <c r="C57" s="196">
        <f>C28</f>
        <v>245</v>
      </c>
      <c r="D57" s="255">
        <f>$I$25-($F$20-$B$25)*($I$25-$I$26)/($B$26-$B$25)</f>
        <v>0.000493</v>
      </c>
      <c r="E57" s="197">
        <f>G28</f>
        <v>0.6</v>
      </c>
      <c r="F57" s="452">
        <v>1</v>
      </c>
      <c r="G57" s="452"/>
      <c r="H57" s="256"/>
      <c r="I57" s="257">
        <f>(ROUND(B57*C57*D57*E57*F57,0))</f>
        <v>18</v>
      </c>
      <c r="J57" s="16"/>
    </row>
    <row r="58" spans="2:12" ht="12.75" customHeight="1" hidden="1">
      <c r="B58" s="258"/>
      <c r="C58" s="258"/>
      <c r="D58" s="259"/>
      <c r="E58" s="259"/>
      <c r="F58" s="237"/>
      <c r="G58" s="259"/>
      <c r="H58" s="259"/>
      <c r="I58" s="110"/>
      <c r="J58" s="11"/>
      <c r="K58" s="110"/>
      <c r="L58" s="110"/>
    </row>
    <row r="59" spans="2:12" ht="42.75" customHeight="1">
      <c r="B59" s="468" t="s">
        <v>231</v>
      </c>
      <c r="C59" s="468"/>
      <c r="D59" s="260" t="s">
        <v>232</v>
      </c>
      <c r="E59" s="261" t="s">
        <v>250</v>
      </c>
      <c r="F59" s="216"/>
      <c r="G59" s="262" t="s">
        <v>232</v>
      </c>
      <c r="H59" s="469" t="s">
        <v>251</v>
      </c>
      <c r="I59" s="469"/>
      <c r="J59" s="263"/>
      <c r="K59" s="262" t="s">
        <v>232</v>
      </c>
      <c r="L59" s="261" t="s">
        <v>252</v>
      </c>
    </row>
    <row r="60" spans="2:12" ht="12.75" customHeight="1">
      <c r="B60" s="470" t="s">
        <v>235</v>
      </c>
      <c r="C60" s="470"/>
      <c r="D60" s="219">
        <f>IF($D$34=0,0,100%)</f>
        <v>1</v>
      </c>
      <c r="E60" s="264">
        <f>IF($D$34=0,0,$I$57)</f>
        <v>18</v>
      </c>
      <c r="F60" s="265"/>
      <c r="G60" s="219">
        <f>IF($G$34=0,0,100%)</f>
        <v>1</v>
      </c>
      <c r="H60" s="471">
        <f>IF($G$34=0,0,$I$57)</f>
        <v>18</v>
      </c>
      <c r="I60" s="471"/>
      <c r="J60" s="265"/>
      <c r="K60" s="219">
        <f>IF($K$34=0,0,100%)</f>
        <v>1</v>
      </c>
      <c r="L60" s="266">
        <f>IF(K34=0,0,'V_Ü_2008 2_dönem '!$P$145)</f>
        <v>16</v>
      </c>
    </row>
    <row r="61" spans="1:12" ht="12.75" customHeight="1">
      <c r="A61" s="108"/>
      <c r="B61" s="461">
        <f>IF($D$34&lt;2,0,"2. Uygulama : ")</f>
        <v>0</v>
      </c>
      <c r="C61" s="461"/>
      <c r="D61" s="219">
        <f>IF($D$34&lt;2,0,50%)</f>
        <v>0</v>
      </c>
      <c r="E61" s="220">
        <f>IF($D$34&gt;=2,$E$60*D61,0)</f>
        <v>0</v>
      </c>
      <c r="F61" s="265"/>
      <c r="G61" s="219">
        <f>IF($G$34&lt;2,0,100%)</f>
        <v>0</v>
      </c>
      <c r="H61" s="460">
        <f>IF($G$34&gt;=2,$H$60*G61,0)</f>
        <v>0</v>
      </c>
      <c r="I61" s="460"/>
      <c r="J61" s="265"/>
      <c r="K61" s="219">
        <f>IF($K$34&lt;2,0,50%)</f>
        <v>0</v>
      </c>
      <c r="L61" s="267">
        <f>IF($K$34&gt;=2,$L$60*K61,0)</f>
        <v>0</v>
      </c>
    </row>
    <row r="62" spans="1:12" ht="12.75" customHeight="1">
      <c r="A62" s="108"/>
      <c r="B62" s="461">
        <f>IF($D$34&lt;3,0,"3. Uygulama : ")</f>
        <v>0</v>
      </c>
      <c r="C62" s="461"/>
      <c r="D62" s="219">
        <f>IF($D$34&lt;3,0,25%)</f>
        <v>0</v>
      </c>
      <c r="E62" s="267">
        <f>IF($D$34&gt;=3,$E$60*D62,0)</f>
        <v>0</v>
      </c>
      <c r="F62" s="265"/>
      <c r="G62" s="219">
        <f>IF($G$34&lt;3,0,100%)</f>
        <v>0</v>
      </c>
      <c r="H62" s="460">
        <f>IF($G$34&gt;=3,$H$60*G62,0)</f>
        <v>0</v>
      </c>
      <c r="I62" s="460"/>
      <c r="J62" s="265"/>
      <c r="K62" s="219">
        <f>IF($K$34&lt;3,0,25%)</f>
        <v>0</v>
      </c>
      <c r="L62" s="220">
        <f>IF($K$34&gt;=3,$L$60*K62,0)</f>
        <v>0</v>
      </c>
    </row>
    <row r="63" spans="2:12" ht="12.75" customHeight="1">
      <c r="B63" s="462">
        <f>IF($D$34&lt;4,0,C31)</f>
        <v>0</v>
      </c>
      <c r="C63" s="462"/>
      <c r="D63" s="223">
        <f>IF($D$34&lt;4,0,15%)</f>
        <v>0</v>
      </c>
      <c r="E63" s="220">
        <f>IF($D$34&gt;=4,$E$60*D63*($D$34-3),0)</f>
        <v>0</v>
      </c>
      <c r="F63" s="265"/>
      <c r="G63" s="219">
        <f>IF($G$34&lt;4,0,100%)</f>
        <v>0</v>
      </c>
      <c r="H63" s="460">
        <f>IF($G$34&gt;=4,$H$60*G63*($G$34-3),0)</f>
        <v>0</v>
      </c>
      <c r="I63" s="460"/>
      <c r="J63" s="265"/>
      <c r="K63" s="221">
        <f>IF($K$34&lt;4,0,15%)</f>
        <v>0</v>
      </c>
      <c r="L63" s="220">
        <f>IF($K$34&gt;=4,$L$60*K63*($K$34-3),0)</f>
        <v>0</v>
      </c>
    </row>
    <row r="64" spans="2:12" ht="12.75" customHeight="1">
      <c r="B64" s="268"/>
      <c r="C64" s="226"/>
      <c r="D64" s="227" t="str">
        <f>IF($D$34=0,0,D65)</f>
        <v>Toplam     =</v>
      </c>
      <c r="E64" s="269">
        <f>SUM(E60:E63)</f>
        <v>18</v>
      </c>
      <c r="F64" s="265"/>
      <c r="G64" s="227" t="str">
        <f>IF($G$34=0,0,G65)</f>
        <v>Toplam   =</v>
      </c>
      <c r="H64" s="472">
        <f>SUM(H60:H63)</f>
        <v>18</v>
      </c>
      <c r="I64" s="472"/>
      <c r="J64" s="265"/>
      <c r="K64" s="231" t="str">
        <f>IF($K$34=0,0,K65)</f>
        <v>Toplam   =</v>
      </c>
      <c r="L64" s="270">
        <f>SUM(L60:L63)</f>
        <v>16</v>
      </c>
    </row>
    <row r="65" spans="2:12" ht="12.75" customHeight="1" hidden="1">
      <c r="B65" s="268"/>
      <c r="C65" s="230"/>
      <c r="D65" s="227" t="s">
        <v>236</v>
      </c>
      <c r="E65" s="270"/>
      <c r="F65" s="271"/>
      <c r="G65" s="231" t="s">
        <v>237</v>
      </c>
      <c r="H65" s="227"/>
      <c r="I65" s="270"/>
      <c r="J65" s="271"/>
      <c r="K65" s="231" t="s">
        <v>237</v>
      </c>
      <c r="L65" s="270"/>
    </row>
    <row r="66" spans="2:12" ht="12.75" customHeight="1">
      <c r="B66" s="268"/>
      <c r="C66" s="230"/>
      <c r="D66" s="230"/>
      <c r="E66" s="242"/>
      <c r="F66" s="271"/>
      <c r="G66" s="230"/>
      <c r="H66" s="230"/>
      <c r="I66" s="242"/>
      <c r="J66" s="271"/>
      <c r="K66" s="230"/>
      <c r="L66" s="242"/>
    </row>
    <row r="67" spans="2:12" ht="12.75" customHeight="1">
      <c r="B67" s="268"/>
      <c r="C67" s="230"/>
      <c r="D67" s="230"/>
      <c r="E67" s="242"/>
      <c r="F67" s="271"/>
      <c r="G67" s="230"/>
      <c r="H67" s="230"/>
      <c r="I67" s="242"/>
      <c r="J67" s="271"/>
      <c r="K67" s="230"/>
      <c r="L67" s="242"/>
    </row>
    <row r="68" spans="2:12" ht="12.75" customHeight="1">
      <c r="B68" s="272"/>
      <c r="C68" s="273"/>
      <c r="D68" s="274"/>
      <c r="E68" s="11"/>
      <c r="F68" s="11"/>
      <c r="G68" s="11"/>
      <c r="H68" s="11"/>
      <c r="I68" s="11"/>
      <c r="J68" s="11"/>
      <c r="K68" s="11"/>
      <c r="L68" s="55"/>
    </row>
    <row r="69" spans="2:12" ht="12.75" customHeight="1">
      <c r="B69" s="473" t="s">
        <v>253</v>
      </c>
      <c r="C69" s="473"/>
      <c r="D69" s="275">
        <f>ROUNDUP(E64,0)</f>
        <v>18</v>
      </c>
      <c r="E69" s="275"/>
      <c r="F69" s="276"/>
      <c r="G69" s="11"/>
      <c r="H69" s="11"/>
      <c r="I69" s="11"/>
      <c r="J69" s="11"/>
      <c r="K69" s="11"/>
      <c r="L69" s="55"/>
    </row>
    <row r="70" spans="2:10" ht="12.75" customHeight="1">
      <c r="B70" s="473" t="s">
        <v>254</v>
      </c>
      <c r="C70" s="473"/>
      <c r="D70" s="275">
        <f>ROUNDUP(H64,0)</f>
        <v>18</v>
      </c>
      <c r="E70" s="275"/>
      <c r="F70" s="276"/>
      <c r="G70" s="236"/>
      <c r="H70" s="236"/>
      <c r="I70" s="236"/>
      <c r="J70" s="236"/>
    </row>
    <row r="71" spans="2:12" ht="12.75" customHeight="1">
      <c r="B71" s="473" t="s">
        <v>255</v>
      </c>
      <c r="C71" s="473"/>
      <c r="D71" s="275">
        <f>ROUNDUP(L64,0)</f>
        <v>16</v>
      </c>
      <c r="E71" s="275"/>
      <c r="F71" s="276"/>
      <c r="G71" s="236"/>
      <c r="H71" s="236"/>
      <c r="J71" s="7" t="s">
        <v>256</v>
      </c>
      <c r="L71" s="11"/>
    </row>
    <row r="72" spans="2:12" ht="12.75" customHeight="1">
      <c r="B72" s="474" t="s">
        <v>257</v>
      </c>
      <c r="C72" s="474"/>
      <c r="D72" s="277">
        <f>SUM(D69:D71)</f>
        <v>52</v>
      </c>
      <c r="E72" s="277"/>
      <c r="F72" s="276"/>
      <c r="G72" s="242"/>
      <c r="H72" s="242"/>
      <c r="J72" s="7" t="s">
        <v>211</v>
      </c>
      <c r="L72" s="11"/>
    </row>
    <row r="73" spans="2:8" ht="12.75" customHeight="1">
      <c r="B73" s="278"/>
      <c r="C73" s="71"/>
      <c r="D73" s="279"/>
      <c r="E73" s="280"/>
      <c r="F73" s="71"/>
      <c r="G73" s="65"/>
      <c r="H73" s="65"/>
    </row>
    <row r="74" spans="2:8" ht="12.75" customHeight="1">
      <c r="B74" s="281"/>
      <c r="G74" s="71"/>
      <c r="H74" s="71"/>
    </row>
    <row r="75" ht="12.75" customHeight="1">
      <c r="B75" s="281"/>
    </row>
  </sheetData>
  <mergeCells count="56">
    <mergeCell ref="B70:C70"/>
    <mergeCell ref="B71:C71"/>
    <mergeCell ref="B72:C72"/>
    <mergeCell ref="B63:C63"/>
    <mergeCell ref="H63:I63"/>
    <mergeCell ref="H64:I64"/>
    <mergeCell ref="B69:C69"/>
    <mergeCell ref="B61:C61"/>
    <mergeCell ref="H61:I61"/>
    <mergeCell ref="B62:C62"/>
    <mergeCell ref="H62:I62"/>
    <mergeCell ref="B59:C59"/>
    <mergeCell ref="H59:I59"/>
    <mergeCell ref="B60:C60"/>
    <mergeCell ref="H60:I60"/>
    <mergeCell ref="F47:G47"/>
    <mergeCell ref="F48:G48"/>
    <mergeCell ref="F56:G56"/>
    <mergeCell ref="F57:G57"/>
    <mergeCell ref="F44:G44"/>
    <mergeCell ref="B45:E45"/>
    <mergeCell ref="F45:G45"/>
    <mergeCell ref="F46:G46"/>
    <mergeCell ref="B39:C39"/>
    <mergeCell ref="H39:I39"/>
    <mergeCell ref="H40:I40"/>
    <mergeCell ref="B43:E43"/>
    <mergeCell ref="F43:G43"/>
    <mergeCell ref="B37:C37"/>
    <mergeCell ref="H37:I37"/>
    <mergeCell ref="B38:C38"/>
    <mergeCell ref="H38:I38"/>
    <mergeCell ref="B35:C35"/>
    <mergeCell ref="H35:I35"/>
    <mergeCell ref="B36:C36"/>
    <mergeCell ref="H36:I36"/>
    <mergeCell ref="D33:E33"/>
    <mergeCell ref="G33:I33"/>
    <mergeCell ref="K33:L33"/>
    <mergeCell ref="H34:I34"/>
    <mergeCell ref="H27:I27"/>
    <mergeCell ref="J27:K27"/>
    <mergeCell ref="H28:I28"/>
    <mergeCell ref="J28:K28"/>
    <mergeCell ref="B19:E19"/>
    <mergeCell ref="C20:E20"/>
    <mergeCell ref="B21:E21"/>
    <mergeCell ref="D22:E22"/>
    <mergeCell ref="B8:C8"/>
    <mergeCell ref="B9:C9"/>
    <mergeCell ref="D9:F9"/>
    <mergeCell ref="B10:C10"/>
    <mergeCell ref="B1:L1"/>
    <mergeCell ref="B2:L2"/>
    <mergeCell ref="B6:C6"/>
    <mergeCell ref="B7:C7"/>
  </mergeCells>
  <dataValidations count="3">
    <dataValidation type="whole" allowBlank="1" showInputMessage="1" showErrorMessage="1" prompt="Blok Adedini Giriniz" sqref="F18">
      <formula1>1</formula1>
      <formula2>1000</formula2>
    </dataValidation>
    <dataValidation operator="equal" allowBlank="1" showInputMessage="1" showErrorMessage="1" prompt="İnşaat Alanını Giriniz" sqref="F19:F20">
      <formula1>0</formula1>
    </dataValidation>
    <dataValidation type="list" operator="equal" allowBlank="1" showInputMessage="1" showErrorMessage="1" prompt="Listeden Yapı Maliyeti Sınıfı  Seçiniz" error="Yapı Maliyeti Sınıfı Listeden Seçiniz" sqref="F22">
      <formula1>"1,2,3A,3B,4A,4B,4C,5A,5B,5C,5D"</formula1>
    </dataValidation>
  </dataValidations>
  <printOptions/>
  <pageMargins left="0.5298611111111111" right="0.2" top="0.5" bottom="0.4701388888888889" header="0.5118055555555556" footer="0.5118055555555556"/>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KEYGENTR</cp:lastModifiedBy>
  <dcterms:created xsi:type="dcterms:W3CDTF">2008-11-11T12:19:29Z</dcterms:created>
  <dcterms:modified xsi:type="dcterms:W3CDTF">2008-11-11T12:19:29Z</dcterms:modified>
  <cp:category/>
  <cp:version/>
  <cp:contentType/>
  <cp:contentStatus/>
</cp:coreProperties>
</file>