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5480" windowHeight="11640" firstSheet="3" activeTab="3"/>
  </bookViews>
  <sheets>
    <sheet name="DENETİM ÜCRETLERİ" sheetId="1" state="hidden" r:id="rId1"/>
    <sheet name="ASGARİ ÜCRETLER" sheetId="2" state="hidden" r:id="rId2"/>
    <sheet name="VERİLER" sheetId="3" state="hidden" r:id="rId3"/>
    <sheet name="ANA SAYFA" sheetId="4" r:id="rId4"/>
    <sheet name="HESAPLAR" sheetId="5" state="hidden" r:id="rId5"/>
  </sheets>
  <externalReferences>
    <externalReference r:id="rId8"/>
  </externalReferences>
  <definedNames>
    <definedName name="d">'[1]mmo.hp'!$F$38:$F$40</definedName>
    <definedName name="h">'[1]mmo.kş'!$C$9</definedName>
    <definedName name="i">'[1]mmo.kş'!$C$9:$N$9</definedName>
    <definedName name="j">'[1]mmo.kş'!$D$9</definedName>
    <definedName name="ja">'[1]mmo.kş'!$E$9</definedName>
    <definedName name="jb">'[1]mmo.kş'!$F$9</definedName>
    <definedName name="jc">'[1]mmo.kş'!$G$9</definedName>
    <definedName name="jd">'[1]mmo.kş'!$H$9</definedName>
    <definedName name="je">'[1]mmo.kş'!$I$9</definedName>
    <definedName name="jf">'[1]mmo.kş'!$J$9</definedName>
    <definedName name="jg">'[1]mmo.kş'!$K$9</definedName>
    <definedName name="jh">'[1]mmo.kş'!$L$9</definedName>
    <definedName name="ji">'[1]mmo.kş'!$M$9</definedName>
    <definedName name="jj">'[1]mmo.kş'!$N$9</definedName>
    <definedName name="o">'[1]mmo.hp'!$P$1:$P$101</definedName>
    <definedName name="_xlnm.Print_Area" localSheetId="3">'ANA SAYFA'!$A$1:$V$48</definedName>
    <definedName name="_xlnm.Print_Area" localSheetId="1">'ASGARİ ÜCRETLER'!$A$9:$R$69</definedName>
    <definedName name="_xlnm.Print_Area" localSheetId="0">'DENETİM ÜCRETLERİ'!$A$9:$R$85</definedName>
    <definedName name="_xlnm.Print_Area" localSheetId="4">'HESAPLAR'!$A$1:$M$59</definedName>
    <definedName name="_xlnm.Print_Area" localSheetId="2">'VERİLER'!$I$3:$W$77</definedName>
    <definedName name="_xlnm.Print_Titles" localSheetId="1">'ASGARİ ÜCRETLER'!$1:$7</definedName>
    <definedName name="_xlnm.Print_Titles" localSheetId="0">'DENETİM ÜCRETLERİ'!$1:$7</definedName>
  </definedNames>
  <calcPr fullCalcOnLoad="1"/>
</workbook>
</file>

<file path=xl/sharedStrings.xml><?xml version="1.0" encoding="utf-8"?>
<sst xmlns="http://schemas.openxmlformats.org/spreadsheetml/2006/main" count="471" uniqueCount="226">
  <si>
    <t>Fatura No</t>
  </si>
  <si>
    <t>Vize No</t>
  </si>
  <si>
    <t>Vize Tarihi</t>
  </si>
  <si>
    <t>m²</t>
  </si>
  <si>
    <t>Teknik Görevli</t>
  </si>
  <si>
    <t>Blok Adedi</t>
  </si>
  <si>
    <t>Yapı Maliyeti Sınıfı</t>
  </si>
  <si>
    <t>Yapı Alanı
( m² )</t>
  </si>
  <si>
    <t>Yapı Sınıf Oranı</t>
  </si>
  <si>
    <t>Hizmet dalı Oranı</t>
  </si>
  <si>
    <t>Bölge Katsayısı</t>
  </si>
  <si>
    <t>* VİZE GÖREVLİSİ TARAFINDAN DOLDURULACAKTIR.</t>
  </si>
  <si>
    <t>İmza / Kaşe</t>
  </si>
  <si>
    <t>YAPI</t>
  </si>
  <si>
    <t>3A</t>
  </si>
  <si>
    <t>3B</t>
  </si>
  <si>
    <t>4A</t>
  </si>
  <si>
    <t>4B</t>
  </si>
  <si>
    <t>4C</t>
  </si>
  <si>
    <t>5A</t>
  </si>
  <si>
    <t>5B</t>
  </si>
  <si>
    <t>5C</t>
  </si>
  <si>
    <t>5D</t>
  </si>
  <si>
    <t>ALANI</t>
  </si>
  <si>
    <t xml:space="preserve"> m ²</t>
  </si>
  <si>
    <t>Bölge katsayısı</t>
  </si>
  <si>
    <t>Hizmet Bölümü oranı</t>
  </si>
  <si>
    <t>Uygulama katsayısı</t>
  </si>
  <si>
    <t>Hizmet dalı oranı</t>
  </si>
  <si>
    <t>İlk uygulama için</t>
  </si>
  <si>
    <t>dir</t>
  </si>
  <si>
    <t>Dördüncü  ve sonrası uygulamalar için</t>
  </si>
  <si>
    <t>As.Av.Proje Vize Harcı</t>
  </si>
  <si>
    <t>Genel Toplam =</t>
  </si>
  <si>
    <t>Toplam  TUS Vize Harcı</t>
  </si>
  <si>
    <t>KDV</t>
  </si>
  <si>
    <t>TUS Vize Harcı</t>
  </si>
  <si>
    <t>Toplam Proje Vize Harcı</t>
  </si>
  <si>
    <t>Genel Toplam Vize Harcı</t>
  </si>
  <si>
    <t>İkinci  Uygulama için</t>
  </si>
  <si>
    <t>Ücüncü Uygulama için</t>
  </si>
  <si>
    <t>Dördüncü  Uygulama için</t>
  </si>
  <si>
    <t>Beşinci  ve sonrası uygulamalar için</t>
  </si>
  <si>
    <t xml:space="preserve">Asansör Avan Proje Ücreti </t>
  </si>
  <si>
    <t>Proje Hizmetleri Asgari Ücretleri ;</t>
  </si>
  <si>
    <t>TUS Hizmetleri Asgari Ücretleri ;</t>
  </si>
  <si>
    <t>Asansör Avan Projesi</t>
  </si>
  <si>
    <t>Mekanik  Tesisat Projesi</t>
  </si>
  <si>
    <t>Uygulama Katsayısı</t>
  </si>
  <si>
    <t>Uygulamalar</t>
  </si>
  <si>
    <t>TUS</t>
  </si>
  <si>
    <t>Mekanik Tesisat Proje Vize Harcı</t>
  </si>
  <si>
    <t>Asansör Avan Proje Vize Harcı</t>
  </si>
  <si>
    <t>Yapı Birim Maliyeti                (YTL / m²)</t>
  </si>
  <si>
    <t>Mekanik Tesisat Projesi</t>
  </si>
  <si>
    <t xml:space="preserve">Asansör Avan Projesi </t>
  </si>
  <si>
    <t>Uygulama Oranı</t>
  </si>
  <si>
    <t>uygulama</t>
  </si>
  <si>
    <t>TUS Toplamı  =</t>
  </si>
  <si>
    <t>Asansör Avan Proje Uygulamaları Toplamı         =</t>
  </si>
  <si>
    <t>Mekanik Tesisat Proje Uygulamaları Toplamı     =</t>
  </si>
  <si>
    <t>Toplam   =</t>
  </si>
  <si>
    <t>Toplam     =</t>
  </si>
  <si>
    <t xml:space="preserve">       3. Mesleki denetim ücretleri proje ve fenni mesuliyet için ayrı olarak alınacaktır.</t>
  </si>
  <si>
    <t>Proje Yapı Sınıf Oranı</t>
  </si>
  <si>
    <t>Vize Yapı Sınıf Oranı</t>
  </si>
  <si>
    <t xml:space="preserve">Asansör Avan Vize Harcı </t>
  </si>
  <si>
    <t>Vize Harcı     (YTL)</t>
  </si>
  <si>
    <t>TUS Vize Harcı ;</t>
  </si>
  <si>
    <t>Proje Vize Harcı ;</t>
  </si>
  <si>
    <t>Asansör Avan Proje Vize Harcı ;</t>
  </si>
  <si>
    <t>Ücüncü ve sonrası uygulamalar için</t>
  </si>
  <si>
    <t xml:space="preserve">       4. Uygulama katsayısı 1,00 olarak alınmıştır..</t>
  </si>
  <si>
    <t xml:space="preserve">       5. Ara değerlerde enterpolasyon yapılır.</t>
  </si>
  <si>
    <t>Teknik Uygulama Sorumluluğu hizmetinde ilk uygulamada saptanan asgari ücret, sonraki uygulamalarda da aynen alınır.</t>
  </si>
  <si>
    <t>Asgari İnşaat Alanı</t>
  </si>
  <si>
    <t>Asgari Vize Harcı</t>
  </si>
  <si>
    <t>m² karşılığı.</t>
  </si>
  <si>
    <t>dİr</t>
  </si>
  <si>
    <t>Hizmet Bölüm Oranı</t>
  </si>
  <si>
    <t>KDV Hariç Toplam Yekün =</t>
  </si>
  <si>
    <t xml:space="preserve">Mimari projeden Hesaplanan Blok Yapı Alanı (m²) </t>
  </si>
  <si>
    <t>Bütün Blokların Toplam İnşaat  Alanı  (m²)</t>
  </si>
  <si>
    <t>1. Uygulama     :</t>
  </si>
  <si>
    <t>Yapı Birim Maliyeti
(TL / m²)</t>
  </si>
  <si>
    <t>Asgari Ücret
( TL )</t>
  </si>
  <si>
    <t>TL / m²</t>
  </si>
  <si>
    <t>Not: 1. Bölge katsayısı 0,60 olarak alınmıştır.</t>
  </si>
  <si>
    <t xml:space="preserve">       2. Kuruşlar TL'ye yuvarlanacaktır.</t>
  </si>
  <si>
    <t>PROJE BEDELİ [PB]</t>
  </si>
  <si>
    <t>PROJE KDV TUTARI [KDV]</t>
  </si>
  <si>
    <t>TOPLAM PROJE BEDELİ [TPB]</t>
  </si>
  <si>
    <t>TUS BEDELİ [TB]</t>
  </si>
  <si>
    <t>TUS KDV TUTARI [KDV]</t>
  </si>
  <si>
    <t>TOPLAM TUS BEDELİ [TTB]</t>
  </si>
  <si>
    <t>HASTA ve ÖZEL ASANSÖRÜ [HÖAAP]</t>
  </si>
  <si>
    <t>İNSAN ve YÜK ASANSÖRÜ [İYAAP]</t>
  </si>
  <si>
    <t>YÜRÜYEN MERDİVEN ASANSÖRÜ [YMAAP]</t>
  </si>
  <si>
    <t>ASANSÖR TİPİ SEÇİNİZ</t>
  </si>
  <si>
    <t xml:space="preserve">İNSAN ve YÜK ASANSÖRÜ </t>
  </si>
  <si>
    <t xml:space="preserve">HASTA ve ÖZEL ASANSÖRÜ </t>
  </si>
  <si>
    <t xml:space="preserve">YÜRÜYEN MERDİVEN ASANSÖRÜ </t>
  </si>
  <si>
    <t>[</t>
  </si>
  <si>
    <t>]</t>
  </si>
  <si>
    <t>PROJE BEDELİ [PB + TUS]</t>
  </si>
  <si>
    <t xml:space="preserve">PROJE + TUS  KDV TUTARI </t>
  </si>
  <si>
    <t>TOPLAM  BEDEL [KDV DAHİL]</t>
  </si>
  <si>
    <t>HESAPLAMA KRİTERLERİ</t>
  </si>
  <si>
    <t>HESAPLAMA DEĞERLERİ</t>
  </si>
  <si>
    <t>T M M O B
MAKİNA MÜHENDİSLERİ ODASI
EDİRNE ŞUBESİ</t>
  </si>
  <si>
    <t>Tüm Meslektaşlarımıza Başarılar Dileriz.</t>
  </si>
  <si>
    <t>YOK</t>
  </si>
  <si>
    <t>ASANSÖR PROJE BEDELİ [AAPB]</t>
  </si>
  <si>
    <t>YAPI MALİYET SINIFI</t>
  </si>
  <si>
    <t>Yapı Maliyet Sınıfı Seçiniz</t>
  </si>
  <si>
    <t>BENZERLİK DURUMU SEÇİNİZ [BD]</t>
  </si>
  <si>
    <t>BLOK SAYISI SEÇİNİZ [BS]</t>
  </si>
  <si>
    <t>Benzerlik Durumu Seçiniz</t>
  </si>
  <si>
    <t>VAR</t>
  </si>
  <si>
    <t>TUS DURUMU SEÇİNİZ [TD]</t>
  </si>
  <si>
    <t>TUS DURUMU</t>
  </si>
  <si>
    <t>TUS Durumu Seçiniz</t>
  </si>
  <si>
    <t>PROJE DURUM</t>
  </si>
  <si>
    <t>TUS DURUM</t>
  </si>
  <si>
    <t>ASANSÖR DURUM</t>
  </si>
  <si>
    <t>ASANSÖR AVAN PROJE SEÇİMİ [AAP]</t>
  </si>
  <si>
    <t>ASANSÖR PROJE SEÇİMİ</t>
  </si>
  <si>
    <t>Asansör Proje Seçimi</t>
  </si>
  <si>
    <t>ASANSÖR AVAN PROJE VAR</t>
  </si>
  <si>
    <t>ASANSÖR AVAN PROJE YOK</t>
  </si>
  <si>
    <t>ASANSÖR BENZERLİK DURUMU</t>
  </si>
  <si>
    <t>PROJE BENZERLİK DURUMU</t>
  </si>
  <si>
    <t>PROJE DURUMU SEÇİNİZ [PD]</t>
  </si>
  <si>
    <t>PROJE DURUMU</t>
  </si>
  <si>
    <t>Proje Durumu Seçiniz</t>
  </si>
  <si>
    <t>HESAPLA</t>
  </si>
  <si>
    <t>İŞLEM SEÇİM DURUMU</t>
  </si>
  <si>
    <t>İŞLEM SEÇİMİ YAPINIZ - HESAPLA SEÇİNİZ</t>
  </si>
  <si>
    <t>TOPLAM PROJE BEDELİ [TAAPB]</t>
  </si>
  <si>
    <t>ASANSÖR BENZERLİK DURUMU SEÇİNİZ [ABD]</t>
  </si>
  <si>
    <t>Asansör Benzerlik Durumu Seçiniz</t>
  </si>
  <si>
    <r>
      <t>MESLEKİ DENETİM ÜCRETİ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[PMDÜ] [PROJE]</t>
    </r>
  </si>
  <si>
    <r>
      <t>MESLEKİ DENETİM ÜCRETİ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[TMDÜ] [TUS]</t>
    </r>
  </si>
  <si>
    <r>
      <t>MESLEKİ DENETİM ÜCRETİ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[AAMDÜ] [ASANSÖR]</t>
    </r>
  </si>
  <si>
    <t>İşlem Seçimi Yapınız</t>
  </si>
  <si>
    <t>ASANSÖR KDV TUTARI [KDV]</t>
  </si>
  <si>
    <t xml:space="preserve">TOPLAM MESLEKİ DENETİM BEDELİ </t>
  </si>
  <si>
    <t>YAPI MALİYET SINIFI SEÇİNİZ [YMS]</t>
  </si>
  <si>
    <r>
      <t>BLOK İNŞAAT</t>
    </r>
    <r>
      <rPr>
        <b/>
        <sz val="13"/>
        <rFont val="Arial"/>
        <family val="2"/>
      </rPr>
      <t xml:space="preserve"> </t>
    </r>
    <r>
      <rPr>
        <b/>
        <sz val="12"/>
        <rFont val="Arial"/>
        <family val="2"/>
      </rPr>
      <t>ALANI  SEÇİNİZ [BİA] [</t>
    </r>
    <r>
      <rPr>
        <b/>
        <sz val="10"/>
        <rFont val="Arial"/>
        <family val="2"/>
      </rPr>
      <t>m²</t>
    </r>
    <r>
      <rPr>
        <b/>
        <sz val="12"/>
        <rFont val="Arial"/>
        <family val="2"/>
      </rPr>
      <t>]</t>
    </r>
  </si>
  <si>
    <t>Sağlıklı ve Sürekli İletişim İçin; Değişen - Kimlik - Adres - Telefon Bilgilerinizi Güncellettiriniz.</t>
  </si>
  <si>
    <t>M E K A N İ K    T E S İ S A T   P R O J E    H İ Z M E T L E R İ
ASGARİ  ÜCRETLERİ  ve  MESLEKİ DENETİM  ÜCRETLERİ
H E S A P L A M A   P R O G R A M I</t>
  </si>
  <si>
    <t>NOT : PB, TB, AAPB Hesaplamalarında, Kr 'lar TL 'ye Yuvarlanmıştır.</t>
  </si>
  <si>
    <t>PB</t>
  </si>
  <si>
    <t>Proje Bedeli</t>
  </si>
  <si>
    <t>TB</t>
  </si>
  <si>
    <t>TUS Bedeli</t>
  </si>
  <si>
    <t>AAPB</t>
  </si>
  <si>
    <t>Asansör Avan Proje Bedeli</t>
  </si>
  <si>
    <t xml:space="preserve"> Hesaplamalarında, Kr 'lar TL 'ye Yuvarlanmıştır.</t>
  </si>
  <si>
    <t>PMDÜ</t>
  </si>
  <si>
    <t>TMDÜ</t>
  </si>
  <si>
    <t>AAMDÜ</t>
  </si>
  <si>
    <t>YIL SEÇİNİZ</t>
  </si>
  <si>
    <t>YAPI
ALANI</t>
  </si>
  <si>
    <t>VİZE HARCI</t>
  </si>
  <si>
    <t>ASANSÖR TİPİ</t>
  </si>
  <si>
    <t>1.DÖNEM</t>
  </si>
  <si>
    <t>2.DÖNEM</t>
  </si>
  <si>
    <t>YIL</t>
  </si>
  <si>
    <t>DÖNEM</t>
  </si>
  <si>
    <t>UYGULAMA SORUMLULUĞU HİZMETLERİ ASGARİ ÜCRETLERİ</t>
  </si>
  <si>
    <t>TMMOB MAKİNA MÜHENDİSLERİ ODASI EDİRNE ŞUBESİ ETKİNLİK ALANINDA</t>
  </si>
  <si>
    <t>2009 - 1. DÖNEM</t>
  </si>
  <si>
    <t>2009 - 2. DÖNEM</t>
  </si>
  <si>
    <t>2010 - 1. DÖNEM</t>
  </si>
  <si>
    <t>2010 - 2. DÖNEM</t>
  </si>
  <si>
    <t>2011 - 1. DÖNEM</t>
  </si>
  <si>
    <t>2011 - 2. DÖNEM</t>
  </si>
  <si>
    <t>2012 - 1. DÖNEM</t>
  </si>
  <si>
    <t>2013 - 1. DÖNEM</t>
  </si>
  <si>
    <t>2014 - 1. DÖNEM</t>
  </si>
  <si>
    <t>2015 - 1. DÖNEM</t>
  </si>
  <si>
    <t>2016 - 1. DÖNEM</t>
  </si>
  <si>
    <t>2017 - 1. DÖNEM</t>
  </si>
  <si>
    <t>2018 - 1. DÖNEM</t>
  </si>
  <si>
    <t>2019 - 1. DÖNEM</t>
  </si>
  <si>
    <t>2020 - 1. DÖNEM</t>
  </si>
  <si>
    <t>2021 - 1. DÖNEM</t>
  </si>
  <si>
    <t>2022 - 1. DÖNEM</t>
  </si>
  <si>
    <t>2023 - 1. DÖNEM</t>
  </si>
  <si>
    <t>2024 - 1. DÖNEM</t>
  </si>
  <si>
    <t>2025 - 1. DÖNEM</t>
  </si>
  <si>
    <t>2026 - 1. DÖNEM</t>
  </si>
  <si>
    <t>2027 - 1. DÖNEM</t>
  </si>
  <si>
    <t>2028 - 1. DÖNEM</t>
  </si>
  <si>
    <t>2029 - 1. DÖNEM</t>
  </si>
  <si>
    <t>2030 - 1. DÖNEM</t>
  </si>
  <si>
    <t>2012 - 2. DÖNEM</t>
  </si>
  <si>
    <t>2013 - 2. DÖNEM</t>
  </si>
  <si>
    <t>2014 - 2. DÖNEM</t>
  </si>
  <si>
    <t>2015 - 2. DÖNEM</t>
  </si>
  <si>
    <t>2016 - 2. DÖNEM</t>
  </si>
  <si>
    <t>2017 - 2. DÖNEM</t>
  </si>
  <si>
    <t>2018 - 2. DÖNEM</t>
  </si>
  <si>
    <t>2019 - 2. DÖNEM</t>
  </si>
  <si>
    <t>2020 - 2. DÖNEM</t>
  </si>
  <si>
    <t>2021 - 2. DÖNEM</t>
  </si>
  <si>
    <t>2022 - 2. DÖNEM</t>
  </si>
  <si>
    <t>2023 - 2. DÖNEM</t>
  </si>
  <si>
    <t>2024 - 2. DÖNEM</t>
  </si>
  <si>
    <t>2025 - 2. DÖNEM</t>
  </si>
  <si>
    <t>2026 - 2. DÖNEM</t>
  </si>
  <si>
    <t>2027 - 2. DÖNEM</t>
  </si>
  <si>
    <t>2028 - 2. DÖNEM</t>
  </si>
  <si>
    <t>2029 - 2. DÖNEM</t>
  </si>
  <si>
    <t>2030 - 2. DÖNEM</t>
  </si>
  <si>
    <t>Proje Ücreti</t>
  </si>
  <si>
    <t>Vize Ücreti</t>
  </si>
  <si>
    <t xml:space="preserve"> PROJE FİYATI</t>
  </si>
  <si>
    <t>ASANSÖR AVAN PROJESİ</t>
  </si>
  <si>
    <t>Yapı Maliyet Sınıfı</t>
  </si>
  <si>
    <t>DÖNEM SEÇİNİZ</t>
  </si>
  <si>
    <t xml:space="preserve">Resmi Gazete- Tarih ve Sayı </t>
  </si>
  <si>
    <t>19.03.2009 - 26828</t>
  </si>
  <si>
    <t>Kocasinan Mah. Dr. Sadık Ahmet Cad. No: 60 /1-2 - EDİRNE
Tel: 0.284. 236 08 00 - 01  Fax:  0.284. 236 08 03 e-posta: edirne@mmo.org.tr</t>
  </si>
  <si>
    <t>Üyemiz Lütfi KAHVECİOĞLU tarafından hazırlanarak ücretsiz kullanıma sunulmuştur. (Tel: 0532 478 55 42)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</si>
</sst>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TL&quot;"/>
    <numFmt numFmtId="165" formatCode="#,##0.00\ &quot;TL&quot;"/>
    <numFmt numFmtId="166" formatCode="#,##0.0\ &quot;TL&quot;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@* &quot;:&quot;"/>
    <numFmt numFmtId="171" formatCode="%\ 0"/>
    <numFmt numFmtId="172" formatCode="0.0"/>
    <numFmt numFmtId="173" formatCode="#,##0.0"/>
    <numFmt numFmtId="174" formatCode="#,##0.000"/>
    <numFmt numFmtId="175" formatCode="_-* #,##0.0\ &quot;TL&quot;_-;\-* #,##0.0\ &quot;TL&quot;_-;_-* &quot;-&quot;\ &quot;TL&quot;_-;_-@_-"/>
    <numFmt numFmtId="176" formatCode="_-* #,##0.00\ &quot;TL&quot;_-;\-* #,##0.00\ &quot;TL&quot;_-;_-* &quot;-&quot;\ &quot;TL&quot;_-;_-@_-"/>
    <numFmt numFmtId="177" formatCode="0.000"/>
    <numFmt numFmtId="178" formatCode="0.0000"/>
    <numFmt numFmtId="179" formatCode="#,##0.00\ &quot;YTL&quot;"/>
    <numFmt numFmtId="180" formatCode="#,##0.0\ &quot;YTL&quot;"/>
    <numFmt numFmtId="181" formatCode="#,##0\ &quot;YTL&quot;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%"/>
    <numFmt numFmtId="189" formatCode="0.0000%"/>
    <numFmt numFmtId="190" formatCode="0.00000%"/>
    <numFmt numFmtId="191" formatCode="#,###\ &quot;YTL&quot;"/>
    <numFmt numFmtId="192" formatCode="@* &quot;;&quot;"/>
    <numFmt numFmtId="193" formatCode="#,##0&quot;Ay&quot;"/>
    <numFmt numFmtId="194" formatCode="#,###\1&quot;Ay&quot;"/>
    <numFmt numFmtId="195" formatCode="#,##0\ &quot;Ay&quot;"/>
    <numFmt numFmtId="196" formatCode="#,##0\ &quot;AY&quot;"/>
    <numFmt numFmtId="197" formatCode="#,##0.0\ &quot;TL&quot;;\-#,##0.0\ &quot;TL&quot;"/>
    <numFmt numFmtId="198" formatCode="#,##0.00\ _T_L"/>
    <numFmt numFmtId="199" formatCode="#,##0.00\ _Y_T_L"/>
    <numFmt numFmtId="200" formatCode="[$-41F]dd\ mmmm\ yyyy\ dddd"/>
    <numFmt numFmtId="201" formatCode="[$-F800]dddd\,\ mmmm\ dd\,\ yyyy"/>
    <numFmt numFmtId="202" formatCode="0.00;[Red]0.00"/>
    <numFmt numFmtId="203" formatCode="#,##0.00\ _T_L;[Red]#,##0.00\ _T_L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 Tur"/>
      <family val="0"/>
    </font>
    <font>
      <b/>
      <sz val="10"/>
      <name val="Arial Tur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14"/>
      <name val="Arial"/>
      <family val="2"/>
    </font>
    <font>
      <i/>
      <sz val="10"/>
      <name val="Arial Tu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8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0"/>
    </font>
    <font>
      <sz val="7"/>
      <name val="Arial"/>
      <family val="2"/>
    </font>
    <font>
      <sz val="11"/>
      <color indexed="12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7" borderId="6" applyNumberFormat="0" applyAlignment="0" applyProtection="0"/>
    <xf numFmtId="0" fontId="25" fillId="16" borderId="6" applyNumberFormat="0" applyAlignment="0" applyProtection="0"/>
    <xf numFmtId="0" fontId="26" fillId="17" borderId="7" applyNumberFormat="0" applyAlignment="0" applyProtection="0"/>
    <xf numFmtId="0" fontId="2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2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0" fontId="35" fillId="0" borderId="0" xfId="0" applyFont="1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0" fillId="24" borderId="12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/>
      <protection hidden="1"/>
    </xf>
    <xf numFmtId="0" fontId="0" fillId="24" borderId="14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 horizontal="right"/>
      <protection hidden="1"/>
    </xf>
    <xf numFmtId="0" fontId="0" fillId="11" borderId="0" xfId="0" applyFill="1" applyBorder="1" applyAlignment="1" applyProtection="1">
      <alignment/>
      <protection hidden="1"/>
    </xf>
    <xf numFmtId="0" fontId="0" fillId="11" borderId="15" xfId="0" applyFill="1" applyBorder="1" applyAlignment="1" applyProtection="1">
      <alignment/>
      <protection hidden="1"/>
    </xf>
    <xf numFmtId="0" fontId="0" fillId="11" borderId="16" xfId="0" applyFill="1" applyBorder="1" applyAlignment="1" applyProtection="1">
      <alignment/>
      <protection hidden="1"/>
    </xf>
    <xf numFmtId="0" fontId="0" fillId="11" borderId="17" xfId="0" applyFill="1" applyBorder="1" applyAlignment="1" applyProtection="1">
      <alignment/>
      <protection hidden="1"/>
    </xf>
    <xf numFmtId="0" fontId="0" fillId="11" borderId="10" xfId="0" applyFill="1" applyBorder="1" applyAlignment="1" applyProtection="1">
      <alignment/>
      <protection hidden="1"/>
    </xf>
    <xf numFmtId="0" fontId="0" fillId="11" borderId="11" xfId="0" applyFill="1" applyBorder="1" applyAlignment="1" applyProtection="1">
      <alignment/>
      <protection hidden="1"/>
    </xf>
    <xf numFmtId="0" fontId="0" fillId="11" borderId="12" xfId="0" applyFill="1" applyBorder="1" applyAlignment="1" applyProtection="1">
      <alignment/>
      <protection hidden="1"/>
    </xf>
    <xf numFmtId="0" fontId="0" fillId="11" borderId="13" xfId="0" applyFill="1" applyBorder="1" applyAlignment="1" applyProtection="1">
      <alignment/>
      <protection hidden="1"/>
    </xf>
    <xf numFmtId="0" fontId="0" fillId="11" borderId="14" xfId="0" applyFill="1" applyBorder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33" fillId="11" borderId="0" xfId="48" applyFill="1" applyAlignment="1" applyProtection="1">
      <alignment/>
      <protection hidden="1"/>
    </xf>
    <xf numFmtId="0" fontId="37" fillId="11" borderId="0" xfId="0" applyFont="1" applyFill="1" applyBorder="1" applyAlignment="1" applyProtection="1">
      <alignment/>
      <protection hidden="1"/>
    </xf>
    <xf numFmtId="0" fontId="0" fillId="11" borderId="0" xfId="0" applyFont="1" applyFill="1" applyBorder="1" applyAlignment="1" applyProtection="1">
      <alignment/>
      <protection hidden="1"/>
    </xf>
    <xf numFmtId="0" fontId="37" fillId="24" borderId="10" xfId="0" applyFont="1" applyFill="1" applyBorder="1" applyAlignment="1" applyProtection="1">
      <alignment/>
      <protection hidden="1"/>
    </xf>
    <xf numFmtId="0" fontId="37" fillId="24" borderId="0" xfId="0" applyFont="1" applyFill="1" applyBorder="1" applyAlignment="1" applyProtection="1">
      <alignment/>
      <protection hidden="1"/>
    </xf>
    <xf numFmtId="0" fontId="0" fillId="24" borderId="10" xfId="0" applyFont="1" applyFill="1" applyBorder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43" fillId="24" borderId="0" xfId="0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 horizontal="center" vertical="center"/>
      <protection hidden="1"/>
    </xf>
    <xf numFmtId="0" fontId="0" fillId="24" borderId="11" xfId="0" applyFont="1" applyFill="1" applyBorder="1" applyAlignment="1" applyProtection="1">
      <alignment/>
      <protection hidden="1"/>
    </xf>
    <xf numFmtId="0" fontId="0" fillId="11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8" borderId="15" xfId="0" applyFill="1" applyBorder="1" applyAlignment="1" applyProtection="1">
      <alignment/>
      <protection hidden="1"/>
    </xf>
    <xf numFmtId="0" fontId="0" fillId="8" borderId="16" xfId="0" applyFill="1" applyBorder="1" applyAlignment="1" applyProtection="1">
      <alignment/>
      <protection hidden="1"/>
    </xf>
    <xf numFmtId="0" fontId="0" fillId="8" borderId="16" xfId="0" applyFill="1" applyBorder="1" applyAlignment="1" applyProtection="1">
      <alignment/>
      <protection locked="0"/>
    </xf>
    <xf numFmtId="0" fontId="0" fillId="8" borderId="17" xfId="0" applyFill="1" applyBorder="1" applyAlignment="1" applyProtection="1">
      <alignment/>
      <protection locked="0"/>
    </xf>
    <xf numFmtId="0" fontId="0" fillId="8" borderId="10" xfId="0" applyFill="1" applyBorder="1" applyAlignment="1" applyProtection="1">
      <alignment/>
      <protection hidden="1"/>
    </xf>
    <xf numFmtId="170" fontId="1" fillId="8" borderId="0" xfId="0" applyNumberFormat="1" applyFont="1" applyFill="1" applyBorder="1" applyAlignment="1" applyProtection="1">
      <alignment horizontal="right" vertical="center"/>
      <protection hidden="1"/>
    </xf>
    <xf numFmtId="0" fontId="0" fillId="8" borderId="11" xfId="0" applyFill="1" applyBorder="1" applyAlignment="1" applyProtection="1">
      <alignment/>
      <protection locked="0"/>
    </xf>
    <xf numFmtId="0" fontId="0" fillId="8" borderId="0" xfId="0" applyFill="1" applyBorder="1" applyAlignment="1" applyProtection="1">
      <alignment vertical="center"/>
      <protection hidden="1"/>
    </xf>
    <xf numFmtId="0" fontId="40" fillId="8" borderId="0" xfId="0" applyFont="1" applyFill="1" applyBorder="1" applyAlignment="1" applyProtection="1">
      <alignment horizontal="center" vertical="center"/>
      <protection locked="0"/>
    </xf>
    <xf numFmtId="0" fontId="1" fillId="8" borderId="18" xfId="0" applyFont="1" applyFill="1" applyBorder="1" applyAlignment="1" applyProtection="1">
      <alignment horizontal="center" vertical="center" shrinkToFit="1"/>
      <protection locked="0"/>
    </xf>
    <xf numFmtId="0" fontId="0" fillId="8" borderId="0" xfId="0" applyFill="1" applyBorder="1" applyAlignment="1" applyProtection="1">
      <alignment horizontal="right" vertical="center"/>
      <protection hidden="1"/>
    </xf>
    <xf numFmtId="7" fontId="40" fillId="8" borderId="25" xfId="0" applyNumberFormat="1" applyFont="1" applyFill="1" applyBorder="1" applyAlignment="1" applyProtection="1">
      <alignment horizontal="center" vertical="center" shrinkToFit="1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70" fontId="40" fillId="8" borderId="0" xfId="0" applyNumberFormat="1" applyFont="1" applyFill="1" applyBorder="1" applyAlignment="1" applyProtection="1">
      <alignment horizontal="right" vertical="center"/>
      <protection hidden="1"/>
    </xf>
    <xf numFmtId="170" fontId="1" fillId="8" borderId="0" xfId="0" applyNumberFormat="1" applyFont="1" applyFill="1" applyBorder="1" applyAlignment="1" applyProtection="1">
      <alignment horizontal="center" vertical="center"/>
      <protection hidden="1"/>
    </xf>
    <xf numFmtId="0" fontId="40" fillId="8" borderId="0" xfId="0" applyFont="1" applyFill="1" applyBorder="1" applyAlignment="1" applyProtection="1">
      <alignment horizontal="center"/>
      <protection locked="0"/>
    </xf>
    <xf numFmtId="0" fontId="1" fillId="8" borderId="0" xfId="0" applyNumberFormat="1" applyFont="1" applyFill="1" applyBorder="1" applyAlignment="1" applyProtection="1">
      <alignment vertical="center" shrinkToFit="1"/>
      <protection hidden="1"/>
    </xf>
    <xf numFmtId="0" fontId="1" fillId="8" borderId="19" xfId="0" applyNumberFormat="1" applyFont="1" applyFill="1" applyBorder="1" applyAlignment="1" applyProtection="1">
      <alignment vertical="center" shrinkToFit="1"/>
      <protection hidden="1"/>
    </xf>
    <xf numFmtId="0" fontId="1" fillId="8" borderId="20" xfId="0" applyFont="1" applyFill="1" applyBorder="1" applyAlignment="1" applyProtection="1">
      <alignment horizontal="center" vertical="center"/>
      <protection locked="0"/>
    </xf>
    <xf numFmtId="0" fontId="1" fillId="8" borderId="0" xfId="0" applyNumberFormat="1" applyFont="1" applyFill="1" applyBorder="1" applyAlignment="1" applyProtection="1">
      <alignment vertical="center" shrinkToFit="1"/>
      <protection locked="0"/>
    </xf>
    <xf numFmtId="0" fontId="1" fillId="8" borderId="11" xfId="0" applyNumberFormat="1" applyFont="1" applyFill="1" applyBorder="1" applyAlignment="1" applyProtection="1">
      <alignment vertical="center" shrinkToFit="1"/>
      <protection locked="0"/>
    </xf>
    <xf numFmtId="170" fontId="41" fillId="8" borderId="0" xfId="0" applyNumberFormat="1" applyFont="1" applyFill="1" applyBorder="1" applyAlignment="1" applyProtection="1">
      <alignment horizontal="left" vertical="center" shrinkToFit="1"/>
      <protection hidden="1"/>
    </xf>
    <xf numFmtId="170" fontId="2" fillId="8" borderId="0" xfId="0" applyNumberFormat="1" applyFont="1" applyFill="1" applyBorder="1" applyAlignment="1" applyProtection="1">
      <alignment horizontal="left" vertical="center" shrinkToFit="1"/>
      <protection hidden="1"/>
    </xf>
    <xf numFmtId="0" fontId="0" fillId="8" borderId="11" xfId="0" applyFont="1" applyFill="1" applyBorder="1" applyAlignment="1" applyProtection="1">
      <alignment/>
      <protection locked="0"/>
    </xf>
    <xf numFmtId="0" fontId="0" fillId="8" borderId="0" xfId="0" applyFill="1" applyBorder="1" applyAlignment="1" applyProtection="1">
      <alignment/>
      <protection locked="0"/>
    </xf>
    <xf numFmtId="0" fontId="0" fillId="8" borderId="12" xfId="0" applyFill="1" applyBorder="1" applyAlignment="1" applyProtection="1">
      <alignment/>
      <protection hidden="1"/>
    </xf>
    <xf numFmtId="0" fontId="0" fillId="8" borderId="13" xfId="0" applyFill="1" applyBorder="1" applyAlignment="1" applyProtection="1">
      <alignment/>
      <protection hidden="1"/>
    </xf>
    <xf numFmtId="0" fontId="0" fillId="8" borderId="13" xfId="0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locked="0"/>
    </xf>
    <xf numFmtId="0" fontId="0" fillId="14" borderId="15" xfId="0" applyFill="1" applyBorder="1" applyAlignment="1" applyProtection="1">
      <alignment/>
      <protection hidden="1"/>
    </xf>
    <xf numFmtId="0" fontId="0" fillId="14" borderId="16" xfId="0" applyFill="1" applyBorder="1" applyAlignment="1" applyProtection="1">
      <alignment/>
      <protection hidden="1"/>
    </xf>
    <xf numFmtId="0" fontId="0" fillId="14" borderId="10" xfId="0" applyFill="1" applyBorder="1" applyAlignment="1" applyProtection="1">
      <alignment/>
      <protection hidden="1"/>
    </xf>
    <xf numFmtId="0" fontId="4" fillId="14" borderId="0" xfId="0" applyFont="1" applyFill="1" applyBorder="1" applyAlignment="1" applyProtection="1">
      <alignment vertical="center"/>
      <protection hidden="1"/>
    </xf>
    <xf numFmtId="0" fontId="0" fillId="14" borderId="0" xfId="0" applyFill="1" applyBorder="1" applyAlignment="1" applyProtection="1">
      <alignment/>
      <protection hidden="1"/>
    </xf>
    <xf numFmtId="0" fontId="0" fillId="14" borderId="17" xfId="0" applyFill="1" applyBorder="1" applyAlignment="1" applyProtection="1">
      <alignment/>
      <protection hidden="1"/>
    </xf>
    <xf numFmtId="0" fontId="0" fillId="14" borderId="11" xfId="0" applyFill="1" applyBorder="1" applyAlignment="1" applyProtection="1">
      <alignment/>
      <protection hidden="1"/>
    </xf>
    <xf numFmtId="0" fontId="0" fillId="14" borderId="12" xfId="0" applyFill="1" applyBorder="1" applyAlignment="1" applyProtection="1">
      <alignment/>
      <protection hidden="1"/>
    </xf>
    <xf numFmtId="0" fontId="4" fillId="14" borderId="13" xfId="0" applyFont="1" applyFill="1" applyBorder="1" applyAlignment="1" applyProtection="1">
      <alignment vertical="center"/>
      <protection hidden="1"/>
    </xf>
    <xf numFmtId="0" fontId="0" fillId="14" borderId="13" xfId="0" applyFill="1" applyBorder="1" applyAlignment="1" applyProtection="1">
      <alignment/>
      <protection hidden="1"/>
    </xf>
    <xf numFmtId="0" fontId="0" fillId="14" borderId="14" xfId="0" applyFill="1" applyBorder="1" applyAlignment="1" applyProtection="1">
      <alignment/>
      <protection hidden="1"/>
    </xf>
    <xf numFmtId="0" fontId="37" fillId="25" borderId="0" xfId="0" applyFont="1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 horizontal="right"/>
      <protection hidden="1"/>
    </xf>
    <xf numFmtId="0" fontId="0" fillId="22" borderId="15" xfId="0" applyFill="1" applyBorder="1" applyAlignment="1" applyProtection="1">
      <alignment/>
      <protection hidden="1"/>
    </xf>
    <xf numFmtId="0" fontId="0" fillId="22" borderId="16" xfId="0" applyFill="1" applyBorder="1" applyAlignment="1" applyProtection="1">
      <alignment/>
      <protection hidden="1"/>
    </xf>
    <xf numFmtId="0" fontId="0" fillId="22" borderId="10" xfId="0" applyFill="1" applyBorder="1" applyAlignment="1" applyProtection="1">
      <alignment/>
      <protection hidden="1"/>
    </xf>
    <xf numFmtId="170" fontId="1" fillId="22" borderId="0" xfId="0" applyNumberFormat="1" applyFont="1" applyFill="1" applyBorder="1" applyAlignment="1" applyProtection="1">
      <alignment horizontal="center" vertical="center"/>
      <protection hidden="1"/>
    </xf>
    <xf numFmtId="0" fontId="0" fillId="22" borderId="0" xfId="0" applyFill="1" applyBorder="1" applyAlignment="1" applyProtection="1">
      <alignment/>
      <protection hidden="1"/>
    </xf>
    <xf numFmtId="0" fontId="0" fillId="22" borderId="0" xfId="0" applyNumberFormat="1" applyFont="1" applyFill="1" applyBorder="1" applyAlignment="1" applyProtection="1">
      <alignment vertical="center"/>
      <protection hidden="1"/>
    </xf>
    <xf numFmtId="170" fontId="2" fillId="22" borderId="0" xfId="0" applyNumberFormat="1" applyFont="1" applyFill="1" applyBorder="1" applyAlignment="1" applyProtection="1">
      <alignment vertical="center"/>
      <protection hidden="1"/>
    </xf>
    <xf numFmtId="0" fontId="0" fillId="22" borderId="10" xfId="0" applyFont="1" applyFill="1" applyBorder="1" applyAlignment="1" applyProtection="1">
      <alignment/>
      <protection hidden="1"/>
    </xf>
    <xf numFmtId="0" fontId="0" fillId="22" borderId="12" xfId="0" applyFill="1" applyBorder="1" applyAlignment="1" applyProtection="1">
      <alignment/>
      <protection hidden="1"/>
    </xf>
    <xf numFmtId="170" fontId="1" fillId="22" borderId="13" xfId="0" applyNumberFormat="1" applyFont="1" applyFill="1" applyBorder="1" applyAlignment="1" applyProtection="1">
      <alignment horizontal="center" vertical="center"/>
      <protection hidden="1"/>
    </xf>
    <xf numFmtId="0" fontId="0" fillId="22" borderId="17" xfId="0" applyFill="1" applyBorder="1" applyAlignment="1" applyProtection="1">
      <alignment/>
      <protection hidden="1"/>
    </xf>
    <xf numFmtId="7" fontId="0" fillId="22" borderId="0" xfId="0" applyNumberFormat="1" applyFill="1" applyBorder="1" applyAlignment="1" applyProtection="1">
      <alignment horizontal="right"/>
      <protection hidden="1"/>
    </xf>
    <xf numFmtId="0" fontId="0" fillId="22" borderId="11" xfId="0" applyFill="1" applyBorder="1" applyAlignment="1" applyProtection="1">
      <alignment/>
      <protection hidden="1"/>
    </xf>
    <xf numFmtId="0" fontId="0" fillId="22" borderId="11" xfId="0" applyFont="1" applyFill="1" applyBorder="1" applyAlignment="1" applyProtection="1">
      <alignment/>
      <protection hidden="1"/>
    </xf>
    <xf numFmtId="0" fontId="0" fillId="22" borderId="14" xfId="0" applyFill="1" applyBorder="1" applyAlignment="1" applyProtection="1">
      <alignment/>
      <protection hidden="1"/>
    </xf>
    <xf numFmtId="0" fontId="0" fillId="22" borderId="0" xfId="0" applyFill="1" applyBorder="1" applyAlignment="1" applyProtection="1">
      <alignment horizontal="right"/>
      <protection hidden="1"/>
    </xf>
    <xf numFmtId="0" fontId="40" fillId="0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 shrinkToFit="1"/>
      <protection locked="0"/>
    </xf>
    <xf numFmtId="0" fontId="1" fillId="22" borderId="0" xfId="0" applyNumberFormat="1" applyFont="1" applyFill="1" applyBorder="1" applyAlignment="1" applyProtection="1">
      <alignment vertical="center"/>
      <protection hidden="1"/>
    </xf>
    <xf numFmtId="0" fontId="41" fillId="22" borderId="0" xfId="0" applyNumberFormat="1" applyFont="1" applyFill="1" applyBorder="1" applyAlignment="1" applyProtection="1">
      <alignment vertical="center"/>
      <protection hidden="1"/>
    </xf>
    <xf numFmtId="0" fontId="0" fillId="0" borderId="20" xfId="0" applyBorder="1" applyAlignment="1" applyProtection="1">
      <alignment/>
      <protection locked="0"/>
    </xf>
    <xf numFmtId="0" fontId="1" fillId="8" borderId="0" xfId="0" applyNumberFormat="1" applyFont="1" applyFill="1" applyBorder="1" applyAlignment="1" applyProtection="1">
      <alignment horizontal="left" vertical="center" shrinkToFit="1"/>
      <protection hidden="1"/>
    </xf>
    <xf numFmtId="170" fontId="1" fillId="8" borderId="0" xfId="0" applyNumberFormat="1" applyFont="1" applyFill="1" applyBorder="1" applyAlignment="1" applyProtection="1">
      <alignment horizontal="left" vertical="center"/>
      <protection hidden="1"/>
    </xf>
    <xf numFmtId="0" fontId="45" fillId="8" borderId="0" xfId="0" applyFont="1" applyFill="1" applyBorder="1" applyAlignment="1" applyProtection="1">
      <alignment horizontal="left" vertical="center"/>
      <protection hidden="1"/>
    </xf>
    <xf numFmtId="0" fontId="0" fillId="8" borderId="0" xfId="0" applyFill="1" applyBorder="1" applyAlignment="1" applyProtection="1">
      <alignment horizontal="left" vertical="center"/>
      <protection hidden="1"/>
    </xf>
    <xf numFmtId="170" fontId="40" fillId="8" borderId="0" xfId="0" applyNumberFormat="1" applyFont="1" applyFill="1" applyBorder="1" applyAlignment="1" applyProtection="1">
      <alignment horizontal="left" vertical="center"/>
      <protection hidden="1"/>
    </xf>
    <xf numFmtId="0" fontId="0" fillId="8" borderId="0" xfId="0" applyFill="1" applyBorder="1" applyAlignment="1" applyProtection="1">
      <alignment horizontal="left"/>
      <protection hidden="1"/>
    </xf>
    <xf numFmtId="0" fontId="45" fillId="22" borderId="0" xfId="0" applyFont="1" applyFill="1" applyBorder="1" applyAlignment="1" applyProtection="1">
      <alignment horizontal="left" vertical="center"/>
      <protection hidden="1"/>
    </xf>
    <xf numFmtId="0" fontId="46" fillId="22" borderId="0" xfId="0" applyNumberFormat="1" applyFont="1" applyFill="1" applyBorder="1" applyAlignment="1" applyProtection="1">
      <alignment/>
      <protection hidden="1"/>
    </xf>
    <xf numFmtId="0" fontId="46" fillId="22" borderId="0" xfId="0" applyNumberFormat="1" applyFont="1" applyFill="1" applyBorder="1" applyAlignment="1" applyProtection="1">
      <alignment vertical="center"/>
      <protection hidden="1"/>
    </xf>
    <xf numFmtId="0" fontId="46" fillId="22" borderId="0" xfId="0" applyFont="1" applyFill="1" applyBorder="1" applyAlignment="1" applyProtection="1">
      <alignment horizontal="left" vertical="center"/>
      <protection hidden="1"/>
    </xf>
    <xf numFmtId="0" fontId="0" fillId="26" borderId="0" xfId="0" applyFont="1" applyFill="1" applyBorder="1" applyAlignment="1" applyProtection="1">
      <alignment/>
      <protection hidden="1"/>
    </xf>
    <xf numFmtId="0" fontId="0" fillId="26" borderId="0" xfId="0" applyNumberFormat="1" applyFont="1" applyFill="1" applyBorder="1" applyAlignment="1" applyProtection="1">
      <alignment shrinkToFit="1"/>
      <protection hidden="1"/>
    </xf>
    <xf numFmtId="170" fontId="0" fillId="26" borderId="0" xfId="0" applyNumberFormat="1" applyFont="1" applyFill="1" applyBorder="1" applyAlignment="1" applyProtection="1">
      <alignment shrinkToFit="1"/>
      <protection hidden="1"/>
    </xf>
    <xf numFmtId="1" fontId="0" fillId="26" borderId="26" xfId="0" applyNumberFormat="1" applyFont="1" applyFill="1" applyBorder="1" applyAlignment="1" applyProtection="1">
      <alignment shrinkToFit="1"/>
      <protection hidden="1"/>
    </xf>
    <xf numFmtId="0" fontId="0" fillId="26" borderId="0" xfId="0" applyFont="1" applyFill="1" applyAlignment="1" applyProtection="1">
      <alignment/>
      <protection hidden="1"/>
    </xf>
    <xf numFmtId="1" fontId="0" fillId="26" borderId="0" xfId="0" applyNumberFormat="1" applyFont="1" applyFill="1" applyAlignment="1" applyProtection="1">
      <alignment/>
      <protection hidden="1"/>
    </xf>
    <xf numFmtId="170" fontId="0" fillId="26" borderId="0" xfId="0" applyNumberFormat="1" applyFont="1" applyFill="1" applyBorder="1" applyAlignment="1" applyProtection="1">
      <alignment/>
      <protection hidden="1"/>
    </xf>
    <xf numFmtId="0" fontId="0" fillId="26" borderId="26" xfId="0" applyFont="1" applyFill="1" applyBorder="1" applyAlignment="1" applyProtection="1">
      <alignment/>
      <protection hidden="1"/>
    </xf>
    <xf numFmtId="0" fontId="0" fillId="26" borderId="27" xfId="0" applyFont="1" applyFill="1" applyBorder="1" applyAlignment="1" applyProtection="1">
      <alignment/>
      <protection hidden="1"/>
    </xf>
    <xf numFmtId="0" fontId="0" fillId="26" borderId="0" xfId="0" applyNumberFormat="1" applyFont="1" applyFill="1" applyBorder="1" applyAlignment="1" applyProtection="1">
      <alignment/>
      <protection hidden="1"/>
    </xf>
    <xf numFmtId="0" fontId="0" fillId="26" borderId="27" xfId="0" applyFont="1" applyFill="1" applyBorder="1" applyAlignment="1" applyProtection="1">
      <alignment horizontal="right"/>
      <protection hidden="1"/>
    </xf>
    <xf numFmtId="0" fontId="3" fillId="26" borderId="0" xfId="0" applyNumberFormat="1" applyFont="1" applyFill="1" applyAlignment="1" applyProtection="1">
      <alignment/>
      <protection hidden="1"/>
    </xf>
    <xf numFmtId="0" fontId="3" fillId="26" borderId="0" xfId="0" applyNumberFormat="1" applyFont="1" applyFill="1" applyAlignment="1" applyProtection="1">
      <alignment horizontal="right" shrinkToFit="1"/>
      <protection hidden="1"/>
    </xf>
    <xf numFmtId="0" fontId="0" fillId="26" borderId="0" xfId="0" applyFill="1" applyAlignment="1" applyProtection="1">
      <alignment horizontal="right"/>
      <protection hidden="1"/>
    </xf>
    <xf numFmtId="0" fontId="0" fillId="26" borderId="0" xfId="0" applyFill="1" applyAlignment="1" applyProtection="1">
      <alignment/>
      <protection hidden="1"/>
    </xf>
    <xf numFmtId="0" fontId="5" fillId="26" borderId="28" xfId="0" applyFont="1" applyFill="1" applyBorder="1" applyAlignment="1" applyProtection="1">
      <alignment horizontal="center" vertical="center" wrapText="1"/>
      <protection hidden="1"/>
    </xf>
    <xf numFmtId="0" fontId="5" fillId="26" borderId="28" xfId="0" applyFont="1" applyFill="1" applyBorder="1" applyAlignment="1" applyProtection="1">
      <alignment horizontal="center" vertical="center"/>
      <protection hidden="1"/>
    </xf>
    <xf numFmtId="1" fontId="5" fillId="26" borderId="28" xfId="0" applyNumberFormat="1" applyFont="1" applyFill="1" applyBorder="1" applyAlignment="1" applyProtection="1">
      <alignment horizontal="center" vertical="center"/>
      <protection hidden="1"/>
    </xf>
    <xf numFmtId="4" fontId="5" fillId="26" borderId="29" xfId="0" applyNumberFormat="1" applyFont="1" applyFill="1" applyBorder="1" applyAlignment="1" applyProtection="1">
      <alignment vertical="center"/>
      <protection hidden="1"/>
    </xf>
    <xf numFmtId="10" fontId="5" fillId="26" borderId="28" xfId="0" applyNumberFormat="1" applyFont="1" applyFill="1" applyBorder="1" applyAlignment="1" applyProtection="1">
      <alignment horizontal="center" vertical="center"/>
      <protection hidden="1"/>
    </xf>
    <xf numFmtId="10" fontId="5" fillId="26" borderId="30" xfId="0" applyNumberFormat="1" applyFont="1" applyFill="1" applyBorder="1" applyAlignment="1" applyProtection="1">
      <alignment horizontal="left" vertical="center"/>
      <protection hidden="1"/>
    </xf>
    <xf numFmtId="10" fontId="5" fillId="26" borderId="31" xfId="0" applyNumberFormat="1" applyFont="1" applyFill="1" applyBorder="1" applyAlignment="1" applyProtection="1">
      <alignment vertical="center"/>
      <protection hidden="1"/>
    </xf>
    <xf numFmtId="187" fontId="5" fillId="26" borderId="28" xfId="0" applyNumberFormat="1" applyFont="1" applyFill="1" applyBorder="1" applyAlignment="1" applyProtection="1">
      <alignment horizontal="right" vertical="center"/>
      <protection hidden="1"/>
    </xf>
    <xf numFmtId="0" fontId="0" fillId="26" borderId="0" xfId="0" applyFill="1" applyAlignment="1" applyProtection="1">
      <alignment horizontal="left" vertical="center"/>
      <protection hidden="1"/>
    </xf>
    <xf numFmtId="0" fontId="5" fillId="26" borderId="0" xfId="0" applyFont="1" applyFill="1" applyAlignment="1" applyProtection="1">
      <alignment/>
      <protection hidden="1"/>
    </xf>
    <xf numFmtId="187" fontId="5" fillId="26" borderId="0" xfId="0" applyNumberFormat="1" applyFont="1" applyFill="1" applyAlignment="1" applyProtection="1">
      <alignment/>
      <protection hidden="1"/>
    </xf>
    <xf numFmtId="10" fontId="5" fillId="26" borderId="0" xfId="0" applyNumberFormat="1" applyFont="1" applyFill="1" applyBorder="1" applyAlignment="1" applyProtection="1">
      <alignment horizontal="center" vertical="center"/>
      <protection hidden="1"/>
    </xf>
    <xf numFmtId="0" fontId="5" fillId="26" borderId="29" xfId="0" applyFont="1" applyFill="1" applyBorder="1" applyAlignment="1" applyProtection="1">
      <alignment horizontal="center" vertical="center" wrapText="1"/>
      <protection hidden="1"/>
    </xf>
    <xf numFmtId="0" fontId="5" fillId="26" borderId="32" xfId="0" applyFont="1" applyFill="1" applyBorder="1" applyAlignment="1" applyProtection="1">
      <alignment horizontal="center" vertical="center" wrapText="1"/>
      <protection hidden="1"/>
    </xf>
    <xf numFmtId="44" fontId="5" fillId="26" borderId="29" xfId="0" applyNumberFormat="1" applyFont="1" applyFill="1" applyBorder="1" applyAlignment="1" applyProtection="1">
      <alignment horizontal="center" vertical="center"/>
      <protection hidden="1"/>
    </xf>
    <xf numFmtId="2" fontId="5" fillId="26" borderId="29" xfId="0" applyNumberFormat="1" applyFont="1" applyFill="1" applyBorder="1" applyAlignment="1" applyProtection="1">
      <alignment horizontal="center" vertical="center"/>
      <protection hidden="1"/>
    </xf>
    <xf numFmtId="2" fontId="5" fillId="26" borderId="28" xfId="0" applyNumberFormat="1" applyFont="1" applyFill="1" applyBorder="1" applyAlignment="1" applyProtection="1">
      <alignment horizontal="center" vertical="center"/>
      <protection hidden="1"/>
    </xf>
    <xf numFmtId="2" fontId="5" fillId="26" borderId="32" xfId="0" applyNumberFormat="1" applyFont="1" applyFill="1" applyBorder="1" applyAlignment="1" applyProtection="1">
      <alignment horizontal="center" vertical="center"/>
      <protection hidden="1"/>
    </xf>
    <xf numFmtId="0" fontId="5" fillId="26" borderId="0" xfId="0" applyFont="1" applyFill="1" applyBorder="1" applyAlignment="1" applyProtection="1">
      <alignment/>
      <protection hidden="1"/>
    </xf>
    <xf numFmtId="2" fontId="5" fillId="26" borderId="0" xfId="0" applyNumberFormat="1" applyFont="1" applyFill="1" applyBorder="1" applyAlignment="1" applyProtection="1">
      <alignment horizontal="center" vertical="center"/>
      <protection hidden="1"/>
    </xf>
    <xf numFmtId="179" fontId="5" fillId="26" borderId="0" xfId="0" applyNumberFormat="1" applyFont="1" applyFill="1" applyBorder="1" applyAlignment="1" applyProtection="1">
      <alignment vertical="center"/>
      <protection hidden="1"/>
    </xf>
    <xf numFmtId="0" fontId="5" fillId="26" borderId="0" xfId="0" applyFont="1" applyFill="1" applyBorder="1" applyAlignment="1" applyProtection="1">
      <alignment horizontal="center" vertical="center"/>
      <protection hidden="1"/>
    </xf>
    <xf numFmtId="179" fontId="5" fillId="26" borderId="31" xfId="0" applyNumberFormat="1" applyFont="1" applyFill="1" applyBorder="1" applyAlignment="1" applyProtection="1">
      <alignment horizontal="center" vertical="center"/>
      <protection hidden="1"/>
    </xf>
    <xf numFmtId="0" fontId="6" fillId="26" borderId="33" xfId="0" applyFont="1" applyFill="1" applyBorder="1" applyAlignment="1" applyProtection="1">
      <alignment vertical="center" wrapText="1"/>
      <protection hidden="1"/>
    </xf>
    <xf numFmtId="0" fontId="6" fillId="26" borderId="31" xfId="0" applyFont="1" applyFill="1" applyBorder="1" applyAlignment="1" applyProtection="1">
      <alignment horizontal="center" vertical="center" wrapText="1"/>
      <protection hidden="1"/>
    </xf>
    <xf numFmtId="170" fontId="6" fillId="26" borderId="26" xfId="0" applyNumberFormat="1" applyFont="1" applyFill="1" applyBorder="1" applyAlignment="1" applyProtection="1">
      <alignment vertical="center" wrapText="1"/>
      <protection hidden="1"/>
    </xf>
    <xf numFmtId="0" fontId="6" fillId="26" borderId="34" xfId="0" applyNumberFormat="1" applyFont="1" applyFill="1" applyBorder="1" applyAlignment="1" applyProtection="1">
      <alignment vertical="center" wrapText="1"/>
      <protection hidden="1"/>
    </xf>
    <xf numFmtId="1" fontId="6" fillId="26" borderId="26" xfId="0" applyNumberFormat="1" applyFont="1" applyFill="1" applyBorder="1" applyAlignment="1" applyProtection="1">
      <alignment vertical="center" wrapText="1"/>
      <protection hidden="1"/>
    </xf>
    <xf numFmtId="0" fontId="6" fillId="26" borderId="34" xfId="0" applyFont="1" applyFill="1" applyBorder="1" applyAlignment="1" applyProtection="1">
      <alignment vertical="center"/>
      <protection hidden="1"/>
    </xf>
    <xf numFmtId="3" fontId="6" fillId="26" borderId="33" xfId="0" applyNumberFormat="1" applyFont="1" applyFill="1" applyBorder="1" applyAlignment="1" applyProtection="1">
      <alignment horizontal="right" vertical="center"/>
      <protection hidden="1"/>
    </xf>
    <xf numFmtId="3" fontId="6" fillId="26" borderId="35" xfId="0" applyNumberFormat="1" applyFont="1" applyFill="1" applyBorder="1" applyAlignment="1" applyProtection="1">
      <alignment horizontal="right" vertical="center"/>
      <protection hidden="1"/>
    </xf>
    <xf numFmtId="0" fontId="6" fillId="26" borderId="31" xfId="0" applyFont="1" applyFill="1" applyBorder="1" applyAlignment="1" applyProtection="1">
      <alignment vertical="center"/>
      <protection hidden="1"/>
    </xf>
    <xf numFmtId="1" fontId="6" fillId="26" borderId="35" xfId="0" applyNumberFormat="1" applyFont="1" applyFill="1" applyBorder="1" applyAlignment="1" applyProtection="1">
      <alignment horizontal="right" vertical="center"/>
      <protection hidden="1"/>
    </xf>
    <xf numFmtId="0" fontId="5" fillId="26" borderId="0" xfId="0" applyFont="1" applyFill="1" applyAlignment="1" applyProtection="1">
      <alignment vertical="center"/>
      <protection hidden="1"/>
    </xf>
    <xf numFmtId="0" fontId="5" fillId="26" borderId="31" xfId="0" applyFont="1" applyFill="1" applyBorder="1" applyAlignment="1" applyProtection="1">
      <alignment vertical="center"/>
      <protection hidden="1"/>
    </xf>
    <xf numFmtId="0" fontId="5" fillId="26" borderId="26" xfId="0" applyNumberFormat="1" applyFont="1" applyFill="1" applyBorder="1" applyAlignment="1" applyProtection="1">
      <alignment horizontal="center" vertical="center"/>
      <protection hidden="1"/>
    </xf>
    <xf numFmtId="0" fontId="5" fillId="26" borderId="34" xfId="0" applyNumberFormat="1" applyFont="1" applyFill="1" applyBorder="1" applyAlignment="1" applyProtection="1">
      <alignment horizontal="center" vertical="center"/>
      <protection hidden="1"/>
    </xf>
    <xf numFmtId="0" fontId="5" fillId="26" borderId="36" xfId="0" applyNumberFormat="1" applyFont="1" applyFill="1" applyBorder="1" applyAlignment="1" applyProtection="1">
      <alignment horizontal="center" vertical="center" wrapText="1"/>
      <protection hidden="1"/>
    </xf>
    <xf numFmtId="0" fontId="5" fillId="26" borderId="28" xfId="0" applyNumberFormat="1" applyFont="1" applyFill="1" applyBorder="1" applyAlignment="1" applyProtection="1">
      <alignment horizontal="center" vertical="center" wrapText="1"/>
      <protection hidden="1"/>
    </xf>
    <xf numFmtId="0" fontId="5" fillId="26" borderId="33" xfId="0" applyNumberFormat="1" applyFont="1" applyFill="1" applyBorder="1" applyAlignment="1" applyProtection="1">
      <alignment horizontal="center" vertical="center" wrapText="1"/>
      <protection hidden="1"/>
    </xf>
    <xf numFmtId="0" fontId="5" fillId="26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26" borderId="32" xfId="0" applyNumberFormat="1" applyFont="1" applyFill="1" applyBorder="1" applyAlignment="1" applyProtection="1">
      <alignment horizontal="center" vertical="center" wrapText="1"/>
      <protection hidden="1"/>
    </xf>
    <xf numFmtId="0" fontId="5" fillId="26" borderId="31" xfId="0" applyFont="1" applyFill="1" applyBorder="1" applyAlignment="1" applyProtection="1">
      <alignment/>
      <protection hidden="1"/>
    </xf>
    <xf numFmtId="171" fontId="5" fillId="26" borderId="28" xfId="0" applyNumberFormat="1" applyFont="1" applyFill="1" applyBorder="1" applyAlignment="1" applyProtection="1">
      <alignment horizontal="center"/>
      <protection hidden="1"/>
    </xf>
    <xf numFmtId="8" fontId="5" fillId="26" borderId="28" xfId="0" applyNumberFormat="1" applyFont="1" applyFill="1" applyBorder="1" applyAlignment="1" applyProtection="1">
      <alignment/>
      <protection hidden="1"/>
    </xf>
    <xf numFmtId="171" fontId="5" fillId="26" borderId="33" xfId="0" applyNumberFormat="1" applyFont="1" applyFill="1" applyBorder="1" applyAlignment="1" applyProtection="1">
      <alignment horizontal="center"/>
      <protection hidden="1"/>
    </xf>
    <xf numFmtId="179" fontId="5" fillId="26" borderId="33" xfId="0" applyNumberFormat="1" applyFont="1" applyFill="1" applyBorder="1" applyAlignment="1" applyProtection="1">
      <alignment/>
      <protection hidden="1"/>
    </xf>
    <xf numFmtId="7" fontId="5" fillId="26" borderId="28" xfId="0" applyNumberFormat="1" applyFont="1" applyFill="1" applyBorder="1" applyAlignment="1" applyProtection="1">
      <alignment/>
      <protection hidden="1"/>
    </xf>
    <xf numFmtId="171" fontId="5" fillId="26" borderId="37" xfId="0" applyNumberFormat="1" applyFont="1" applyFill="1" applyBorder="1" applyAlignment="1" applyProtection="1">
      <alignment horizontal="center"/>
      <protection hidden="1"/>
    </xf>
    <xf numFmtId="171" fontId="5" fillId="26" borderId="31" xfId="0" applyNumberFormat="1" applyFont="1" applyFill="1" applyBorder="1" applyAlignment="1" applyProtection="1">
      <alignment horizontal="center"/>
      <protection hidden="1"/>
    </xf>
    <xf numFmtId="179" fontId="5" fillId="26" borderId="31" xfId="0" applyNumberFormat="1" applyFont="1" applyFill="1" applyBorder="1" applyAlignment="1" applyProtection="1">
      <alignment/>
      <protection hidden="1"/>
    </xf>
    <xf numFmtId="0" fontId="5" fillId="26" borderId="31" xfId="0" applyFont="1" applyFill="1" applyBorder="1" applyAlignment="1" applyProtection="1">
      <alignment/>
      <protection hidden="1"/>
    </xf>
    <xf numFmtId="0" fontId="5" fillId="26" borderId="27" xfId="0" applyFont="1" applyFill="1" applyBorder="1" applyAlignment="1" applyProtection="1">
      <alignment/>
      <protection hidden="1"/>
    </xf>
    <xf numFmtId="8" fontId="5" fillId="26" borderId="32" xfId="0" applyNumberFormat="1" applyFont="1" applyFill="1" applyBorder="1" applyAlignment="1" applyProtection="1">
      <alignment/>
      <protection hidden="1"/>
    </xf>
    <xf numFmtId="0" fontId="5" fillId="26" borderId="33" xfId="0" applyFont="1" applyFill="1" applyBorder="1" applyAlignment="1" applyProtection="1">
      <alignment/>
      <protection hidden="1"/>
    </xf>
    <xf numFmtId="7" fontId="5" fillId="26" borderId="32" xfId="0" applyNumberFormat="1" applyFont="1" applyFill="1" applyBorder="1" applyAlignment="1" applyProtection="1">
      <alignment/>
      <protection hidden="1"/>
    </xf>
    <xf numFmtId="0" fontId="5" fillId="26" borderId="0" xfId="0" applyFont="1" applyFill="1" applyBorder="1" applyAlignment="1" applyProtection="1">
      <alignment/>
      <protection hidden="1"/>
    </xf>
    <xf numFmtId="0" fontId="5" fillId="26" borderId="29" xfId="0" applyFont="1" applyFill="1" applyBorder="1" applyAlignment="1" applyProtection="1">
      <alignment/>
      <protection hidden="1"/>
    </xf>
    <xf numFmtId="179" fontId="5" fillId="26" borderId="32" xfId="0" applyNumberFormat="1" applyFont="1" applyFill="1" applyBorder="1" applyAlignment="1" applyProtection="1">
      <alignment/>
      <protection hidden="1"/>
    </xf>
    <xf numFmtId="4" fontId="0" fillId="26" borderId="0" xfId="0" applyNumberFormat="1" applyFill="1" applyAlignment="1" applyProtection="1">
      <alignment/>
      <protection hidden="1"/>
    </xf>
    <xf numFmtId="0" fontId="0" fillId="26" borderId="0" xfId="0" applyFill="1" applyBorder="1" applyAlignment="1" applyProtection="1">
      <alignment/>
      <protection hidden="1"/>
    </xf>
    <xf numFmtId="0" fontId="0" fillId="26" borderId="38" xfId="0" applyFill="1" applyBorder="1" applyAlignment="1" applyProtection="1">
      <alignment/>
      <protection hidden="1"/>
    </xf>
    <xf numFmtId="179" fontId="5" fillId="26" borderId="0" xfId="0" applyNumberFormat="1" applyFont="1" applyFill="1" applyBorder="1" applyAlignment="1" applyProtection="1">
      <alignment horizontal="right"/>
      <protection hidden="1"/>
    </xf>
    <xf numFmtId="179" fontId="5" fillId="26" borderId="0" xfId="0" applyNumberFormat="1" applyFont="1" applyFill="1" applyAlignment="1" applyProtection="1">
      <alignment/>
      <protection hidden="1"/>
    </xf>
    <xf numFmtId="179" fontId="0" fillId="26" borderId="0" xfId="0" applyNumberFormat="1" applyFill="1" applyAlignment="1" applyProtection="1">
      <alignment/>
      <protection hidden="1"/>
    </xf>
    <xf numFmtId="0" fontId="0" fillId="26" borderId="0" xfId="0" applyFill="1" applyBorder="1" applyAlignment="1" applyProtection="1">
      <alignment/>
      <protection hidden="1"/>
    </xf>
    <xf numFmtId="0" fontId="0" fillId="26" borderId="0" xfId="0" applyFill="1" applyBorder="1" applyAlignment="1" applyProtection="1">
      <alignment horizontal="left"/>
      <protection hidden="1"/>
    </xf>
    <xf numFmtId="179" fontId="5" fillId="26" borderId="0" xfId="0" applyNumberFormat="1" applyFont="1" applyFill="1" applyAlignment="1" applyProtection="1">
      <alignment horizontal="right"/>
      <protection hidden="1"/>
    </xf>
    <xf numFmtId="0" fontId="2" fillId="26" borderId="0" xfId="0" applyFont="1" applyFill="1" applyBorder="1" applyAlignment="1" applyProtection="1">
      <alignment horizontal="right"/>
      <protection hidden="1"/>
    </xf>
    <xf numFmtId="0" fontId="5" fillId="26" borderId="0" xfId="0" applyFont="1" applyFill="1" applyBorder="1" applyAlignment="1" applyProtection="1">
      <alignment horizontal="right"/>
      <protection hidden="1"/>
    </xf>
    <xf numFmtId="171" fontId="5" fillId="26" borderId="0" xfId="0" applyNumberFormat="1" applyFont="1" applyFill="1" applyBorder="1" applyAlignment="1" applyProtection="1">
      <alignment horizontal="right"/>
      <protection hidden="1"/>
    </xf>
    <xf numFmtId="179" fontId="0" fillId="26" borderId="0" xfId="0" applyNumberFormat="1" applyFill="1" applyBorder="1" applyAlignment="1" applyProtection="1">
      <alignment/>
      <protection hidden="1"/>
    </xf>
    <xf numFmtId="0" fontId="10" fillId="26" borderId="0" xfId="0" applyFont="1" applyFill="1" applyAlignment="1" applyProtection="1">
      <alignment/>
      <protection hidden="1"/>
    </xf>
    <xf numFmtId="0" fontId="9" fillId="26" borderId="0" xfId="0" applyFont="1" applyFill="1" applyAlignment="1" applyProtection="1">
      <alignment/>
      <protection hidden="1"/>
    </xf>
    <xf numFmtId="170" fontId="8" fillId="26" borderId="0" xfId="0" applyNumberFormat="1" applyFont="1" applyFill="1" applyAlignment="1" applyProtection="1">
      <alignment/>
      <protection hidden="1"/>
    </xf>
    <xf numFmtId="0" fontId="12" fillId="26" borderId="26" xfId="0" applyFont="1" applyFill="1" applyBorder="1" applyAlignment="1" applyProtection="1">
      <alignment/>
      <protection hidden="1"/>
    </xf>
    <xf numFmtId="0" fontId="12" fillId="26" borderId="0" xfId="0" applyFont="1" applyFill="1" applyBorder="1" applyAlignment="1" applyProtection="1">
      <alignment/>
      <protection hidden="1"/>
    </xf>
    <xf numFmtId="0" fontId="12" fillId="26" borderId="27" xfId="0" applyFont="1" applyFill="1" applyBorder="1" applyAlignment="1" applyProtection="1">
      <alignment/>
      <protection hidden="1"/>
    </xf>
    <xf numFmtId="0" fontId="8" fillId="26" borderId="0" xfId="0" applyNumberFormat="1" applyFont="1" applyFill="1" applyAlignment="1" applyProtection="1">
      <alignment horizontal="center"/>
      <protection hidden="1"/>
    </xf>
    <xf numFmtId="0" fontId="12" fillId="26" borderId="26" xfId="0" applyNumberFormat="1" applyFont="1" applyFill="1" applyBorder="1" applyAlignment="1" applyProtection="1">
      <alignment/>
      <protection hidden="1"/>
    </xf>
    <xf numFmtId="0" fontId="0" fillId="26" borderId="0" xfId="0" applyNumberFormat="1" applyFill="1" applyBorder="1" applyAlignment="1" applyProtection="1">
      <alignment/>
      <protection hidden="1"/>
    </xf>
    <xf numFmtId="0" fontId="0" fillId="26" borderId="0" xfId="0" applyNumberFormat="1" applyFill="1" applyAlignment="1" applyProtection="1">
      <alignment/>
      <protection hidden="1"/>
    </xf>
    <xf numFmtId="0" fontId="5" fillId="26" borderId="29" xfId="0" applyFont="1" applyFill="1" applyBorder="1" applyAlignment="1" applyProtection="1">
      <alignment vertical="center" wrapText="1"/>
      <protection hidden="1"/>
    </xf>
    <xf numFmtId="190" fontId="5" fillId="26" borderId="28" xfId="0" applyNumberFormat="1" applyFont="1" applyFill="1" applyBorder="1" applyAlignment="1" applyProtection="1">
      <alignment horizontal="center" vertical="center"/>
      <protection hidden="1"/>
    </xf>
    <xf numFmtId="2" fontId="5" fillId="26" borderId="28" xfId="0" applyNumberFormat="1" applyFont="1" applyFill="1" applyBorder="1" applyAlignment="1" applyProtection="1">
      <alignment vertical="center"/>
      <protection hidden="1"/>
    </xf>
    <xf numFmtId="170" fontId="8" fillId="26" borderId="26" xfId="0" applyNumberFormat="1" applyFont="1" applyFill="1" applyBorder="1" applyAlignment="1" applyProtection="1">
      <alignment horizontal="center"/>
      <protection hidden="1"/>
    </xf>
    <xf numFmtId="0" fontId="0" fillId="26" borderId="26" xfId="0" applyFill="1" applyBorder="1" applyAlignment="1" applyProtection="1">
      <alignment/>
      <protection hidden="1"/>
    </xf>
    <xf numFmtId="0" fontId="0" fillId="26" borderId="26" xfId="0" applyFill="1" applyBorder="1" applyAlignment="1" applyProtection="1">
      <alignment/>
      <protection hidden="1"/>
    </xf>
    <xf numFmtId="0" fontId="13" fillId="26" borderId="36" xfId="0" applyNumberFormat="1" applyFont="1" applyFill="1" applyBorder="1" applyAlignment="1" applyProtection="1">
      <alignment horizontal="center" vertical="center" wrapText="1"/>
      <protection hidden="1"/>
    </xf>
    <xf numFmtId="0" fontId="8" fillId="26" borderId="28" xfId="0" applyNumberFormat="1" applyFont="1" applyFill="1" applyBorder="1" applyAlignment="1" applyProtection="1">
      <alignment horizontal="center" vertical="center" wrapText="1"/>
      <protection hidden="1"/>
    </xf>
    <xf numFmtId="0" fontId="13" fillId="26" borderId="28" xfId="0" applyNumberFormat="1" applyFont="1" applyFill="1" applyBorder="1" applyAlignment="1" applyProtection="1">
      <alignment horizontal="center" vertical="center" wrapText="1"/>
      <protection hidden="1"/>
    </xf>
    <xf numFmtId="0" fontId="11" fillId="26" borderId="33" xfId="0" applyNumberFormat="1" applyFont="1" applyFill="1" applyBorder="1" applyAlignment="1" applyProtection="1">
      <alignment/>
      <protection hidden="1"/>
    </xf>
    <xf numFmtId="165" fontId="0" fillId="26" borderId="33" xfId="0" applyNumberFormat="1" applyFill="1" applyBorder="1" applyAlignment="1" applyProtection="1">
      <alignment/>
      <protection hidden="1"/>
    </xf>
    <xf numFmtId="165" fontId="5" fillId="26" borderId="33" xfId="0" applyNumberFormat="1" applyFont="1" applyFill="1" applyBorder="1" applyAlignment="1" applyProtection="1">
      <alignment horizontal="left"/>
      <protection hidden="1"/>
    </xf>
    <xf numFmtId="165" fontId="5" fillId="26" borderId="28" xfId="0" applyNumberFormat="1" applyFont="1" applyFill="1" applyBorder="1" applyAlignment="1" applyProtection="1">
      <alignment horizontal="center"/>
      <protection hidden="1"/>
    </xf>
    <xf numFmtId="165" fontId="0" fillId="26" borderId="28" xfId="0" applyNumberFormat="1" applyFill="1" applyBorder="1" applyAlignment="1" applyProtection="1">
      <alignment/>
      <protection hidden="1"/>
    </xf>
    <xf numFmtId="0" fontId="0" fillId="26" borderId="31" xfId="0" applyFill="1" applyBorder="1" applyAlignment="1" applyProtection="1">
      <alignment/>
      <protection hidden="1"/>
    </xf>
    <xf numFmtId="165" fontId="5" fillId="26" borderId="28" xfId="0" applyNumberFormat="1" applyFont="1" applyFill="1" applyBorder="1" applyAlignment="1" applyProtection="1">
      <alignment/>
      <protection hidden="1"/>
    </xf>
    <xf numFmtId="165" fontId="5" fillId="26" borderId="36" xfId="0" applyNumberFormat="1" applyFont="1" applyFill="1" applyBorder="1" applyAlignment="1" applyProtection="1">
      <alignment/>
      <protection hidden="1"/>
    </xf>
    <xf numFmtId="165" fontId="5" fillId="26" borderId="33" xfId="0" applyNumberFormat="1" applyFont="1" applyFill="1" applyBorder="1" applyAlignment="1" applyProtection="1">
      <alignment horizontal="center"/>
      <protection hidden="1"/>
    </xf>
    <xf numFmtId="170" fontId="8" fillId="26" borderId="0" xfId="0" applyNumberFormat="1" applyFont="1" applyFill="1" applyBorder="1" applyAlignment="1" applyProtection="1">
      <alignment horizontal="right"/>
      <protection hidden="1"/>
    </xf>
    <xf numFmtId="165" fontId="0" fillId="26" borderId="34" xfId="0" applyNumberFormat="1" applyFill="1" applyBorder="1" applyAlignment="1" applyProtection="1">
      <alignment/>
      <protection hidden="1"/>
    </xf>
    <xf numFmtId="171" fontId="5" fillId="26" borderId="33" xfId="0" applyNumberFormat="1" applyFont="1" applyFill="1" applyBorder="1" applyAlignment="1" applyProtection="1">
      <alignment horizontal="left"/>
      <protection hidden="1"/>
    </xf>
    <xf numFmtId="165" fontId="0" fillId="26" borderId="32" xfId="0" applyNumberFormat="1" applyFill="1" applyBorder="1" applyAlignment="1" applyProtection="1">
      <alignment/>
      <protection hidden="1"/>
    </xf>
    <xf numFmtId="179" fontId="0" fillId="26" borderId="32" xfId="0" applyNumberFormat="1" applyFill="1" applyBorder="1" applyAlignment="1" applyProtection="1">
      <alignment/>
      <protection hidden="1"/>
    </xf>
    <xf numFmtId="171" fontId="5" fillId="26" borderId="0" xfId="0" applyNumberFormat="1" applyFont="1" applyFill="1" applyBorder="1" applyAlignment="1" applyProtection="1">
      <alignment horizontal="left"/>
      <protection hidden="1"/>
    </xf>
    <xf numFmtId="170" fontId="8" fillId="26" borderId="0" xfId="0" applyNumberFormat="1" applyFont="1" applyFill="1" applyBorder="1" applyAlignment="1" applyProtection="1">
      <alignment/>
      <protection hidden="1"/>
    </xf>
    <xf numFmtId="170" fontId="0" fillId="26" borderId="0" xfId="0" applyNumberFormat="1" applyFill="1" applyAlignment="1" applyProtection="1">
      <alignment/>
      <protection hidden="1"/>
    </xf>
    <xf numFmtId="4" fontId="0" fillId="26" borderId="0" xfId="0" applyNumberFormat="1" applyFill="1" applyBorder="1" applyAlignment="1" applyProtection="1">
      <alignment/>
      <protection hidden="1"/>
    </xf>
    <xf numFmtId="2" fontId="0" fillId="26" borderId="0" xfId="0" applyNumberFormat="1" applyFill="1" applyBorder="1" applyAlignment="1" applyProtection="1">
      <alignment/>
      <protection hidden="1"/>
    </xf>
    <xf numFmtId="165" fontId="8" fillId="26" borderId="26" xfId="0" applyNumberFormat="1" applyFont="1" applyFill="1" applyBorder="1" applyAlignment="1" applyProtection="1">
      <alignment/>
      <protection hidden="1"/>
    </xf>
    <xf numFmtId="179" fontId="8" fillId="26" borderId="0" xfId="0" applyNumberFormat="1" applyFont="1" applyFill="1" applyBorder="1" applyAlignment="1" applyProtection="1">
      <alignment/>
      <protection hidden="1"/>
    </xf>
    <xf numFmtId="171" fontId="13" fillId="26" borderId="0" xfId="0" applyNumberFormat="1" applyFont="1" applyFill="1" applyBorder="1" applyAlignment="1" applyProtection="1">
      <alignment horizontal="left"/>
      <protection hidden="1"/>
    </xf>
    <xf numFmtId="0" fontId="0" fillId="26" borderId="0" xfId="0" applyFill="1" applyAlignment="1" applyProtection="1">
      <alignment horizontal="center"/>
      <protection hidden="1"/>
    </xf>
    <xf numFmtId="165" fontId="9" fillId="26" borderId="27" xfId="0" applyNumberFormat="1" applyFont="1" applyFill="1" applyBorder="1" applyAlignment="1" applyProtection="1">
      <alignment/>
      <protection hidden="1"/>
    </xf>
    <xf numFmtId="179" fontId="9" fillId="26" borderId="0" xfId="0" applyNumberFormat="1" applyFont="1" applyFill="1" applyBorder="1" applyAlignment="1" applyProtection="1">
      <alignment/>
      <protection hidden="1"/>
    </xf>
    <xf numFmtId="170" fontId="2" fillId="26" borderId="0" xfId="0" applyNumberFormat="1" applyFont="1" applyFill="1" applyAlignment="1" applyProtection="1">
      <alignment/>
      <protection hidden="1"/>
    </xf>
    <xf numFmtId="0" fontId="2" fillId="26" borderId="0" xfId="0" applyFont="1" applyFill="1" applyAlignment="1" applyProtection="1">
      <alignment/>
      <protection hidden="1"/>
    </xf>
    <xf numFmtId="4" fontId="2" fillId="26" borderId="0" xfId="0" applyNumberFormat="1" applyFont="1" applyFill="1" applyAlignment="1" applyProtection="1">
      <alignment/>
      <protection hidden="1"/>
    </xf>
    <xf numFmtId="179" fontId="2" fillId="26" borderId="0" xfId="0" applyNumberFormat="1" applyFont="1" applyFill="1" applyAlignment="1" applyProtection="1">
      <alignment/>
      <protection hidden="1"/>
    </xf>
    <xf numFmtId="179" fontId="2" fillId="26" borderId="0" xfId="0" applyNumberFormat="1" applyFont="1" applyFill="1" applyBorder="1" applyAlignment="1" applyProtection="1">
      <alignment/>
      <protection hidden="1"/>
    </xf>
    <xf numFmtId="170" fontId="8" fillId="26" borderId="0" xfId="0" applyNumberFormat="1" applyFont="1" applyFill="1" applyAlignment="1" applyProtection="1">
      <alignment/>
      <protection hidden="1"/>
    </xf>
    <xf numFmtId="170" fontId="1" fillId="8" borderId="11" xfId="0" applyNumberFormat="1" applyFont="1" applyFill="1" applyBorder="1" applyAlignment="1" applyProtection="1">
      <alignment horizontal="right" vertical="center"/>
      <protection hidden="1"/>
    </xf>
    <xf numFmtId="165" fontId="0" fillId="0" borderId="0" xfId="0" applyNumberFormat="1" applyFill="1" applyAlignment="1" applyProtection="1">
      <alignment horizontal="center"/>
      <protection locked="0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2" fontId="46" fillId="0" borderId="0" xfId="0" applyNumberFormat="1" applyFont="1" applyFill="1" applyAlignment="1">
      <alignment/>
    </xf>
    <xf numFmtId="1" fontId="46" fillId="0" borderId="0" xfId="0" applyNumberFormat="1" applyFont="1" applyFill="1" applyAlignment="1">
      <alignment/>
    </xf>
    <xf numFmtId="0" fontId="0" fillId="22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2" borderId="0" xfId="0" applyFont="1" applyFill="1" applyBorder="1" applyAlignment="1" applyProtection="1">
      <alignment horizontal="left" vertical="center"/>
      <protection hidden="1"/>
    </xf>
    <xf numFmtId="0" fontId="4" fillId="22" borderId="13" xfId="0" applyFont="1" applyFill="1" applyBorder="1" applyAlignment="1" applyProtection="1">
      <alignment horizontal="left" vertical="center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65" applyNumberFormat="1" applyFill="1" applyAlignment="1" applyProtection="1">
      <alignment/>
      <protection hidden="1"/>
    </xf>
    <xf numFmtId="0" fontId="4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52" applyNumberFormat="1" applyFont="1" applyFill="1">
      <alignment/>
      <protection/>
    </xf>
    <xf numFmtId="0" fontId="5" fillId="0" borderId="0" xfId="52" applyFont="1" applyFill="1">
      <alignment/>
      <protection/>
    </xf>
    <xf numFmtId="1" fontId="5" fillId="0" borderId="0" xfId="52" applyNumberFormat="1" applyFont="1" applyFill="1">
      <alignment/>
      <protection/>
    </xf>
    <xf numFmtId="3" fontId="5" fillId="0" borderId="0" xfId="52" applyNumberFormat="1" applyFont="1" applyFill="1">
      <alignment/>
      <protection/>
    </xf>
    <xf numFmtId="4" fontId="46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3" fontId="7" fillId="0" borderId="37" xfId="0" applyNumberFormat="1" applyFont="1" applyFill="1" applyBorder="1" applyAlignment="1" applyProtection="1">
      <alignment horizontal="center"/>
      <protection hidden="1"/>
    </xf>
    <xf numFmtId="2" fontId="0" fillId="0" borderId="38" xfId="0" applyNumberFormat="1" applyFill="1" applyBorder="1" applyAlignment="1" applyProtection="1">
      <alignment horizontal="center"/>
      <protection hidden="1"/>
    </xf>
    <xf numFmtId="0" fontId="0" fillId="0" borderId="38" xfId="0" applyFill="1" applyBorder="1" applyAlignment="1" applyProtection="1">
      <alignment horizontal="center"/>
      <protection hidden="1"/>
    </xf>
    <xf numFmtId="1" fontId="0" fillId="0" borderId="38" xfId="0" applyNumberFormat="1" applyFill="1" applyBorder="1" applyAlignment="1" applyProtection="1">
      <alignment horizontal="center"/>
      <protection hidden="1"/>
    </xf>
    <xf numFmtId="0" fontId="7" fillId="0" borderId="37" xfId="0" applyNumberFormat="1" applyFont="1" applyFill="1" applyBorder="1" applyAlignment="1" applyProtection="1">
      <alignment horizontal="center"/>
      <protection hidden="1"/>
    </xf>
    <xf numFmtId="1" fontId="7" fillId="0" borderId="37" xfId="0" applyNumberFormat="1" applyFont="1" applyFill="1" applyBorder="1" applyAlignment="1" applyProtection="1">
      <alignment horizontal="center"/>
      <protection hidden="1"/>
    </xf>
    <xf numFmtId="2" fontId="7" fillId="0" borderId="37" xfId="0" applyNumberFormat="1" applyFont="1" applyFill="1" applyBorder="1" applyAlignment="1" applyProtection="1">
      <alignment horizontal="center"/>
      <protection hidden="1"/>
    </xf>
    <xf numFmtId="3" fontId="7" fillId="0" borderId="33" xfId="0" applyNumberFormat="1" applyFont="1" applyFill="1" applyBorder="1" applyAlignment="1" applyProtection="1">
      <alignment horizontal="centerContinuous" vertical="center" wrapText="1"/>
      <protection hidden="1"/>
    </xf>
    <xf numFmtId="2" fontId="7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1" fontId="7" fillId="0" borderId="0" xfId="0" applyNumberFormat="1" applyFont="1" applyFill="1" applyAlignment="1" applyProtection="1">
      <alignment horizontal="center"/>
      <protection hidden="1"/>
    </xf>
    <xf numFmtId="4" fontId="7" fillId="0" borderId="33" xfId="0" applyNumberFormat="1" applyFont="1" applyFill="1" applyBorder="1" applyAlignment="1" applyProtection="1">
      <alignment horizontal="centerContinuous" vertical="center"/>
      <protection hidden="1"/>
    </xf>
    <xf numFmtId="3" fontId="0" fillId="0" borderId="36" xfId="0" applyNumberFormat="1" applyFont="1" applyFill="1" applyBorder="1" applyAlignment="1" applyProtection="1">
      <alignment horizontal="centerContinuous" vertical="center" wrapText="1"/>
      <protection hidden="1"/>
    </xf>
    <xf numFmtId="1" fontId="7" fillId="0" borderId="0" xfId="0" applyNumberFormat="1" applyFont="1" applyFill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Continuous"/>
      <protection hidden="1"/>
    </xf>
    <xf numFmtId="3" fontId="0" fillId="0" borderId="28" xfId="0" applyNumberFormat="1" applyFont="1" applyFill="1" applyBorder="1" applyAlignment="1" applyProtection="1">
      <alignment/>
      <protection hidden="1"/>
    </xf>
    <xf numFmtId="2" fontId="0" fillId="0" borderId="28" xfId="0" applyNumberFormat="1" applyFont="1" applyFill="1" applyBorder="1" applyAlignment="1" applyProtection="1">
      <alignment/>
      <protection hidden="1"/>
    </xf>
    <xf numFmtId="1" fontId="0" fillId="0" borderId="36" xfId="0" applyNumberFormat="1" applyFont="1" applyFill="1" applyBorder="1" applyAlignment="1" applyProtection="1">
      <alignment/>
      <protection hidden="1"/>
    </xf>
    <xf numFmtId="0" fontId="7" fillId="0" borderId="36" xfId="0" applyFont="1" applyFill="1" applyBorder="1" applyAlignment="1" applyProtection="1">
      <alignment horizontal="centerContinuous"/>
      <protection hidden="1"/>
    </xf>
    <xf numFmtId="1" fontId="0" fillId="0" borderId="28" xfId="0" applyNumberFormat="1" applyFont="1" applyFill="1" applyBorder="1" applyAlignment="1" applyProtection="1">
      <alignment/>
      <protection hidden="1"/>
    </xf>
    <xf numFmtId="3" fontId="0" fillId="0" borderId="28" xfId="0" applyNumberFormat="1" applyFill="1" applyBorder="1" applyAlignment="1" applyProtection="1">
      <alignment/>
      <protection hidden="1"/>
    </xf>
    <xf numFmtId="2" fontId="0" fillId="0" borderId="28" xfId="0" applyNumberForma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/>
      <protection hidden="1"/>
    </xf>
    <xf numFmtId="1" fontId="0" fillId="0" borderId="0" xfId="0" applyNumberForma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9" fontId="0" fillId="0" borderId="0" xfId="65" applyFill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65" fontId="0" fillId="0" borderId="0" xfId="0" applyNumberFormat="1" applyFill="1" applyAlignment="1" applyProtection="1">
      <alignment/>
      <protection hidden="1"/>
    </xf>
    <xf numFmtId="2" fontId="5" fillId="0" borderId="0" xfId="52" applyNumberFormat="1" applyFont="1" applyFill="1" applyProtection="1">
      <alignment/>
      <protection hidden="1"/>
    </xf>
    <xf numFmtId="0" fontId="5" fillId="0" borderId="0" xfId="52" applyFont="1" applyFill="1" applyProtection="1">
      <alignment/>
      <protection hidden="1"/>
    </xf>
    <xf numFmtId="1" fontId="5" fillId="0" borderId="0" xfId="52" applyNumberFormat="1" applyFont="1" applyFill="1" applyProtection="1">
      <alignment/>
      <protection hidden="1"/>
    </xf>
    <xf numFmtId="3" fontId="46" fillId="0" borderId="0" xfId="0" applyNumberFormat="1" applyFont="1" applyFill="1" applyAlignment="1" applyProtection="1">
      <alignment/>
      <protection hidden="1"/>
    </xf>
    <xf numFmtId="2" fontId="46" fillId="0" borderId="0" xfId="0" applyNumberFormat="1" applyFont="1" applyFill="1" applyAlignment="1" applyProtection="1">
      <alignment/>
      <protection hidden="1"/>
    </xf>
    <xf numFmtId="1" fontId="46" fillId="0" borderId="0" xfId="0" applyNumberFormat="1" applyFont="1" applyFill="1" applyAlignment="1" applyProtection="1">
      <alignment/>
      <protection hidden="1"/>
    </xf>
    <xf numFmtId="0" fontId="46" fillId="0" borderId="0" xfId="0" applyFont="1" applyFill="1" applyAlignment="1" applyProtection="1">
      <alignment/>
      <protection hidden="1"/>
    </xf>
    <xf numFmtId="3" fontId="47" fillId="0" borderId="37" xfId="0" applyNumberFormat="1" applyFont="1" applyFill="1" applyBorder="1" applyAlignment="1" applyProtection="1">
      <alignment horizontal="center"/>
      <protection hidden="1"/>
    </xf>
    <xf numFmtId="2" fontId="46" fillId="0" borderId="38" xfId="0" applyNumberFormat="1" applyFont="1" applyFill="1" applyBorder="1" applyAlignment="1" applyProtection="1">
      <alignment horizontal="center"/>
      <protection hidden="1"/>
    </xf>
    <xf numFmtId="0" fontId="46" fillId="0" borderId="38" xfId="0" applyFont="1" applyFill="1" applyBorder="1" applyAlignment="1" applyProtection="1">
      <alignment horizontal="center"/>
      <protection hidden="1"/>
    </xf>
    <xf numFmtId="1" fontId="46" fillId="0" borderId="38" xfId="0" applyNumberFormat="1" applyFont="1" applyFill="1" applyBorder="1" applyAlignment="1" applyProtection="1">
      <alignment horizontal="center"/>
      <protection hidden="1"/>
    </xf>
    <xf numFmtId="0" fontId="47" fillId="0" borderId="37" xfId="0" applyNumberFormat="1" applyFont="1" applyFill="1" applyBorder="1" applyAlignment="1" applyProtection="1">
      <alignment horizontal="center"/>
      <protection hidden="1"/>
    </xf>
    <xf numFmtId="1" fontId="47" fillId="0" borderId="37" xfId="0" applyNumberFormat="1" applyFont="1" applyFill="1" applyBorder="1" applyAlignment="1" applyProtection="1">
      <alignment horizontal="center"/>
      <protection hidden="1"/>
    </xf>
    <xf numFmtId="2" fontId="47" fillId="0" borderId="37" xfId="0" applyNumberFormat="1" applyFont="1" applyFill="1" applyBorder="1" applyAlignment="1" applyProtection="1">
      <alignment horizontal="center"/>
      <protection hidden="1"/>
    </xf>
    <xf numFmtId="3" fontId="47" fillId="0" borderId="33" xfId="0" applyNumberFormat="1" applyFont="1" applyFill="1" applyBorder="1" applyAlignment="1" applyProtection="1">
      <alignment horizontal="centerContinuous" vertical="center" wrapText="1"/>
      <protection hidden="1"/>
    </xf>
    <xf numFmtId="2" fontId="47" fillId="0" borderId="0" xfId="0" applyNumberFormat="1" applyFont="1" applyFill="1" applyAlignment="1" applyProtection="1">
      <alignment horizontal="center"/>
      <protection hidden="1"/>
    </xf>
    <xf numFmtId="0" fontId="47" fillId="0" borderId="0" xfId="0" applyFont="1" applyFill="1" applyAlignment="1" applyProtection="1">
      <alignment horizontal="center"/>
      <protection hidden="1"/>
    </xf>
    <xf numFmtId="1" fontId="47" fillId="0" borderId="0" xfId="0" applyNumberFormat="1" applyFont="1" applyFill="1" applyAlignment="1" applyProtection="1">
      <alignment horizontal="center"/>
      <protection hidden="1"/>
    </xf>
    <xf numFmtId="3" fontId="46" fillId="0" borderId="36" xfId="0" applyNumberFormat="1" applyFont="1" applyFill="1" applyBorder="1" applyAlignment="1" applyProtection="1">
      <alignment horizontal="centerContinuous" vertical="center" wrapText="1"/>
      <protection hidden="1"/>
    </xf>
    <xf numFmtId="1" fontId="47" fillId="0" borderId="0" xfId="0" applyNumberFormat="1" applyFont="1" applyFill="1" applyAlignment="1" applyProtection="1">
      <alignment horizontal="center" vertical="center"/>
      <protection hidden="1"/>
    </xf>
    <xf numFmtId="0" fontId="47" fillId="0" borderId="36" xfId="0" applyFont="1" applyFill="1" applyBorder="1" applyAlignment="1" applyProtection="1">
      <alignment horizontal="centerContinuous"/>
      <protection hidden="1"/>
    </xf>
    <xf numFmtId="3" fontId="46" fillId="0" borderId="28" xfId="0" applyNumberFormat="1" applyFont="1" applyFill="1" applyBorder="1" applyAlignment="1" applyProtection="1">
      <alignment/>
      <protection hidden="1"/>
    </xf>
    <xf numFmtId="2" fontId="46" fillId="0" borderId="28" xfId="0" applyNumberFormat="1" applyFont="1" applyFill="1" applyBorder="1" applyAlignment="1" applyProtection="1">
      <alignment/>
      <protection hidden="1"/>
    </xf>
    <xf numFmtId="1" fontId="46" fillId="0" borderId="36" xfId="0" applyNumberFormat="1" applyFont="1" applyFill="1" applyBorder="1" applyAlignment="1" applyProtection="1">
      <alignment/>
      <protection hidden="1"/>
    </xf>
    <xf numFmtId="1" fontId="46" fillId="0" borderId="28" xfId="0" applyNumberFormat="1" applyFont="1" applyFill="1" applyBorder="1" applyAlignment="1" applyProtection="1">
      <alignment/>
      <protection hidden="1"/>
    </xf>
    <xf numFmtId="3" fontId="48" fillId="0" borderId="28" xfId="0" applyNumberFormat="1" applyFont="1" applyFill="1" applyBorder="1" applyAlignment="1" applyProtection="1">
      <alignment/>
      <protection hidden="1"/>
    </xf>
    <xf numFmtId="2" fontId="48" fillId="0" borderId="28" xfId="0" applyNumberFormat="1" applyFont="1" applyFill="1" applyBorder="1" applyAlignment="1" applyProtection="1">
      <alignment/>
      <protection hidden="1"/>
    </xf>
    <xf numFmtId="1" fontId="48" fillId="0" borderId="28" xfId="0" applyNumberFormat="1" applyFont="1" applyFill="1" applyBorder="1" applyAlignment="1" applyProtection="1">
      <alignment/>
      <protection hidden="1"/>
    </xf>
    <xf numFmtId="0" fontId="48" fillId="0" borderId="0" xfId="0" applyFont="1" applyFill="1" applyAlignment="1">
      <alignment/>
    </xf>
    <xf numFmtId="2" fontId="48" fillId="0" borderId="28" xfId="0" applyNumberFormat="1" applyFont="1" applyBorder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3" fontId="48" fillId="0" borderId="0" xfId="0" applyNumberFormat="1" applyFont="1" applyFill="1" applyBorder="1" applyAlignment="1" applyProtection="1">
      <alignment/>
      <protection hidden="1"/>
    </xf>
    <xf numFmtId="2" fontId="48" fillId="0" borderId="0" xfId="0" applyNumberFormat="1" applyFont="1" applyFill="1" applyBorder="1" applyAlignment="1" applyProtection="1">
      <alignment/>
      <protection hidden="1"/>
    </xf>
    <xf numFmtId="1" fontId="48" fillId="0" borderId="0" xfId="0" applyNumberFormat="1" applyFont="1" applyFill="1" applyBorder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3" fontId="49" fillId="0" borderId="0" xfId="0" applyNumberFormat="1" applyFont="1" applyFill="1" applyAlignment="1" applyProtection="1">
      <alignment/>
      <protection hidden="1"/>
    </xf>
    <xf numFmtId="9" fontId="48" fillId="0" borderId="0" xfId="65" applyFont="1" applyFill="1" applyAlignment="1" applyProtection="1">
      <alignment/>
      <protection hidden="1"/>
    </xf>
    <xf numFmtId="3" fontId="48" fillId="0" borderId="0" xfId="0" applyNumberFormat="1" applyFont="1" applyFill="1" applyAlignment="1" applyProtection="1">
      <alignment/>
      <protection hidden="1"/>
    </xf>
    <xf numFmtId="2" fontId="48" fillId="0" borderId="0" xfId="0" applyNumberFormat="1" applyFont="1" applyFill="1" applyAlignment="1" applyProtection="1">
      <alignment/>
      <protection hidden="1"/>
    </xf>
    <xf numFmtId="178" fontId="48" fillId="0" borderId="0" xfId="0" applyNumberFormat="1" applyFont="1" applyFill="1" applyAlignment="1" applyProtection="1">
      <alignment/>
      <protection hidden="1"/>
    </xf>
    <xf numFmtId="4" fontId="48" fillId="0" borderId="0" xfId="0" applyNumberFormat="1" applyFont="1" applyFill="1" applyBorder="1" applyAlignment="1" applyProtection="1">
      <alignment/>
      <protection hidden="1"/>
    </xf>
    <xf numFmtId="1" fontId="48" fillId="0" borderId="0" xfId="0" applyNumberFormat="1" applyFont="1" applyFill="1" applyAlignment="1" applyProtection="1">
      <alignment/>
      <protection hidden="1"/>
    </xf>
    <xf numFmtId="170" fontId="48" fillId="0" borderId="0" xfId="0" applyNumberFormat="1" applyFont="1" applyFill="1" applyBorder="1" applyAlignment="1" applyProtection="1">
      <alignment horizontal="center"/>
      <protection hidden="1"/>
    </xf>
    <xf numFmtId="2" fontId="48" fillId="0" borderId="0" xfId="0" applyNumberFormat="1" applyFont="1" applyFill="1" applyAlignment="1">
      <alignment/>
    </xf>
    <xf numFmtId="1" fontId="48" fillId="0" borderId="0" xfId="0" applyNumberFormat="1" applyFont="1" applyFill="1" applyAlignment="1">
      <alignment/>
    </xf>
    <xf numFmtId="0" fontId="50" fillId="0" borderId="0" xfId="51" applyFont="1" applyFill="1" applyBorder="1" applyAlignment="1" applyProtection="1">
      <alignment/>
      <protection hidden="1"/>
    </xf>
    <xf numFmtId="3" fontId="48" fillId="0" borderId="0" xfId="0" applyNumberFormat="1" applyFont="1" applyFill="1" applyBorder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3" fontId="48" fillId="0" borderId="0" xfId="0" applyNumberFormat="1" applyFont="1" applyFill="1" applyAlignment="1" applyProtection="1">
      <alignment/>
      <protection hidden="1"/>
    </xf>
    <xf numFmtId="0" fontId="48" fillId="0" borderId="0" xfId="65" applyNumberFormat="1" applyFont="1" applyFill="1" applyAlignment="1" applyProtection="1">
      <alignment/>
      <protection hidden="1"/>
    </xf>
    <xf numFmtId="0" fontId="48" fillId="0" borderId="0" xfId="0" applyNumberFormat="1" applyFont="1" applyFill="1" applyBorder="1" applyAlignment="1" applyProtection="1">
      <alignment vertical="center"/>
      <protection hidden="1"/>
    </xf>
    <xf numFmtId="165" fontId="48" fillId="0" borderId="0" xfId="0" applyNumberFormat="1" applyFont="1" applyFill="1" applyAlignment="1" applyProtection="1">
      <alignment/>
      <protection hidden="1"/>
    </xf>
    <xf numFmtId="3" fontId="48" fillId="0" borderId="0" xfId="0" applyNumberFormat="1" applyFont="1" applyFill="1" applyAlignment="1">
      <alignment/>
    </xf>
    <xf numFmtId="0" fontId="51" fillId="0" borderId="0" xfId="51" applyFont="1" applyFill="1" applyBorder="1" applyAlignment="1" applyProtection="1">
      <alignment/>
      <protection hidden="1"/>
    </xf>
    <xf numFmtId="3" fontId="40" fillId="0" borderId="18" xfId="0" applyNumberFormat="1" applyFont="1" applyBorder="1" applyAlignment="1" applyProtection="1">
      <alignment horizontal="center" vertical="center" wrapText="1"/>
      <protection hidden="1"/>
    </xf>
    <xf numFmtId="4" fontId="0" fillId="0" borderId="0" xfId="0" applyNumberForma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>
      <alignment/>
    </xf>
    <xf numFmtId="0" fontId="52" fillId="0" borderId="39" xfId="0" applyNumberFormat="1" applyFont="1" applyFill="1" applyBorder="1" applyAlignment="1" applyProtection="1">
      <alignment vertical="center"/>
      <protection hidden="1"/>
    </xf>
    <xf numFmtId="0" fontId="52" fillId="0" borderId="40" xfId="0" applyNumberFormat="1" applyFont="1" applyFill="1" applyBorder="1" applyAlignment="1" applyProtection="1">
      <alignment vertical="center"/>
      <protection hidden="1"/>
    </xf>
    <xf numFmtId="0" fontId="52" fillId="0" borderId="41" xfId="0" applyNumberFormat="1" applyFont="1" applyFill="1" applyBorder="1" applyAlignment="1" applyProtection="1">
      <alignment vertical="center"/>
      <protection hidden="1"/>
    </xf>
    <xf numFmtId="0" fontId="52" fillId="0" borderId="42" xfId="0" applyNumberFormat="1" applyFont="1" applyFill="1" applyBorder="1" applyAlignment="1" applyProtection="1">
      <alignment vertical="center"/>
      <protection hidden="1"/>
    </xf>
    <xf numFmtId="0" fontId="52" fillId="0" borderId="43" xfId="0" applyNumberFormat="1" applyFont="1" applyFill="1" applyBorder="1" applyAlignment="1" applyProtection="1">
      <alignment vertical="center"/>
      <protection hidden="1"/>
    </xf>
    <xf numFmtId="0" fontId="52" fillId="0" borderId="22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0" fillId="0" borderId="18" xfId="0" applyNumberFormat="1" applyFont="1" applyBorder="1" applyAlignment="1" applyProtection="1">
      <alignment horizontal="center" vertical="center"/>
      <protection hidden="1"/>
    </xf>
    <xf numFmtId="1" fontId="40" fillId="0" borderId="18" xfId="0" applyNumberFormat="1" applyFont="1" applyBorder="1" applyAlignment="1" applyProtection="1">
      <alignment horizontal="center" vertical="center"/>
      <protection hidden="1"/>
    </xf>
    <xf numFmtId="2" fontId="40" fillId="0" borderId="18" xfId="0" applyNumberFormat="1" applyFont="1" applyBorder="1" applyAlignment="1" applyProtection="1">
      <alignment horizontal="center" vertical="center"/>
      <protection hidden="1"/>
    </xf>
    <xf numFmtId="0" fontId="40" fillId="0" borderId="18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Continuous"/>
      <protection hidden="1"/>
    </xf>
    <xf numFmtId="0" fontId="3" fillId="0" borderId="0" xfId="0" applyFont="1" applyBorder="1" applyAlignment="1" applyProtection="1">
      <alignment horizontal="centerContinuous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4" fontId="40" fillId="0" borderId="18" xfId="0" applyNumberFormat="1" applyFont="1" applyBorder="1" applyAlignment="1" applyProtection="1">
      <alignment horizontal="center" vertical="center"/>
      <protection hidden="1"/>
    </xf>
    <xf numFmtId="4" fontId="40" fillId="0" borderId="4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3" fontId="0" fillId="0" borderId="36" xfId="0" applyNumberFormat="1" applyFont="1" applyBorder="1" applyAlignment="1" applyProtection="1">
      <alignment horizontal="centerContinuous" vertical="center" wrapText="1"/>
      <protection hidden="1"/>
    </xf>
    <xf numFmtId="0" fontId="7" fillId="0" borderId="36" xfId="0" applyFont="1" applyBorder="1" applyAlignment="1" applyProtection="1">
      <alignment horizontal="centerContinuous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/>
      <protection hidden="1"/>
    </xf>
    <xf numFmtId="2" fontId="3" fillId="0" borderId="18" xfId="0" applyNumberFormat="1" applyFont="1" applyBorder="1" applyAlignment="1" applyProtection="1">
      <alignment horizontal="center"/>
      <protection hidden="1"/>
    </xf>
    <xf numFmtId="4" fontId="3" fillId="0" borderId="18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0" fillId="0" borderId="18" xfId="0" applyFont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Fill="1" applyBorder="1" applyAlignment="1" applyProtection="1">
      <alignment/>
      <protection hidden="1"/>
    </xf>
    <xf numFmtId="3" fontId="1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8" xfId="0" applyNumberFormat="1" applyFont="1" applyBorder="1" applyAlignment="1" applyProtection="1">
      <alignment horizontal="center" vertical="center"/>
      <protection hidden="1"/>
    </xf>
    <xf numFmtId="1" fontId="1" fillId="0" borderId="18" xfId="0" applyNumberFormat="1" applyFont="1" applyBorder="1" applyAlignment="1" applyProtection="1">
      <alignment horizontal="center" vertical="center"/>
      <protection hidden="1"/>
    </xf>
    <xf numFmtId="2" fontId="1" fillId="0" borderId="18" xfId="0" applyNumberFormat="1" applyFont="1" applyBorder="1" applyAlignment="1" applyProtection="1">
      <alignment horizontal="center" vertical="center"/>
      <protection hidden="1"/>
    </xf>
    <xf numFmtId="4" fontId="1" fillId="0" borderId="18" xfId="0" applyNumberFormat="1" applyFont="1" applyBorder="1" applyAlignment="1" applyProtection="1">
      <alignment horizontal="center" vertical="center" wrapText="1"/>
      <protection hidden="1"/>
    </xf>
    <xf numFmtId="3" fontId="1" fillId="0" borderId="23" xfId="0" applyNumberFormat="1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4" fontId="1" fillId="0" borderId="44" xfId="0" applyNumberFormat="1" applyFont="1" applyBorder="1" applyAlignment="1" applyProtection="1">
      <alignment/>
      <protection hidden="1"/>
    </xf>
    <xf numFmtId="4" fontId="1" fillId="0" borderId="45" xfId="0" applyNumberFormat="1" applyFont="1" applyBorder="1" applyAlignment="1" applyProtection="1">
      <alignment/>
      <protection hidden="1"/>
    </xf>
    <xf numFmtId="170" fontId="1" fillId="0" borderId="0" xfId="0" applyNumberFormat="1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center" wrapText="1"/>
      <protection hidden="1"/>
    </xf>
    <xf numFmtId="4" fontId="3" fillId="0" borderId="18" xfId="0" applyNumberFormat="1" applyFont="1" applyBorder="1" applyAlignment="1" applyProtection="1">
      <alignment horizontal="center"/>
      <protection hidden="1"/>
    </xf>
    <xf numFmtId="4" fontId="3" fillId="0" borderId="45" xfId="0" applyNumberFormat="1" applyFont="1" applyBorder="1" applyAlignment="1" applyProtection="1">
      <alignment/>
      <protection hidden="1"/>
    </xf>
    <xf numFmtId="4" fontId="3" fillId="0" borderId="18" xfId="0" applyNumberFormat="1" applyFont="1" applyBorder="1" applyAlignment="1" applyProtection="1">
      <alignment/>
      <protection hidden="1"/>
    </xf>
    <xf numFmtId="4" fontId="3" fillId="0" borderId="45" xfId="0" applyNumberFormat="1" applyFont="1" applyBorder="1" applyAlignment="1" applyProtection="1">
      <alignment horizontal="center"/>
      <protection hidden="1"/>
    </xf>
    <xf numFmtId="3" fontId="5" fillId="0" borderId="0" xfId="52" applyNumberFormat="1" applyFont="1" applyFill="1" applyProtection="1">
      <alignment/>
      <protection hidden="1"/>
    </xf>
    <xf numFmtId="0" fontId="50" fillId="0" borderId="0" xfId="51" applyFont="1" applyFill="1" applyAlignment="1" applyProtection="1">
      <alignment horizontal="center"/>
      <protection hidden="1"/>
    </xf>
    <xf numFmtId="170" fontId="5" fillId="0" borderId="45" xfId="50" applyNumberFormat="1" applyFont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horizontal="center" vertical="center"/>
      <protection hidden="1"/>
    </xf>
    <xf numFmtId="170" fontId="1" fillId="22" borderId="0" xfId="0" applyNumberFormat="1" applyFont="1" applyFill="1" applyBorder="1" applyAlignment="1" applyProtection="1">
      <alignment horizontal="left" vertical="center" shrinkToFit="1"/>
      <protection hidden="1"/>
    </xf>
    <xf numFmtId="170" fontId="41" fillId="8" borderId="0" xfId="0" applyNumberFormat="1" applyFont="1" applyFill="1" applyBorder="1" applyAlignment="1" applyProtection="1">
      <alignment horizontal="left" vertical="center"/>
      <protection hidden="1"/>
    </xf>
    <xf numFmtId="170" fontId="5" fillId="0" borderId="25" xfId="50" applyNumberFormat="1" applyFont="1" applyBorder="1" applyAlignment="1" applyProtection="1">
      <alignment horizontal="center" vertical="center"/>
      <protection locked="0"/>
    </xf>
    <xf numFmtId="170" fontId="5" fillId="0" borderId="48" xfId="50" applyNumberFormat="1" applyFont="1" applyBorder="1" applyAlignment="1" applyProtection="1">
      <alignment horizontal="center" vertical="center"/>
      <protection locked="0"/>
    </xf>
    <xf numFmtId="0" fontId="54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70" fontId="48" fillId="0" borderId="0" xfId="0" applyNumberFormat="1" applyFont="1" applyFill="1" applyBorder="1" applyAlignment="1" applyProtection="1">
      <alignment horizontal="center"/>
      <protection hidden="1"/>
    </xf>
    <xf numFmtId="165" fontId="48" fillId="0" borderId="0" xfId="0" applyNumberFormat="1" applyFont="1" applyFill="1" applyBorder="1" applyAlignment="1" applyProtection="1">
      <alignment horizontal="left"/>
      <protection hidden="1"/>
    </xf>
    <xf numFmtId="3" fontId="4" fillId="0" borderId="0" xfId="0" applyNumberFormat="1" applyFont="1" applyFill="1" applyAlignment="1" applyProtection="1">
      <alignment horizontal="center" wrapText="1"/>
      <protection hidden="1"/>
    </xf>
    <xf numFmtId="3" fontId="4" fillId="0" borderId="0" xfId="0" applyNumberFormat="1" applyFont="1" applyFill="1" applyAlignment="1" applyProtection="1">
      <alignment horizontal="center"/>
      <protection hidden="1"/>
    </xf>
    <xf numFmtId="3" fontId="4" fillId="0" borderId="0" xfId="0" applyNumberFormat="1" applyFont="1" applyFill="1" applyAlignment="1" applyProtection="1">
      <alignment horizontal="center" vertical="center" wrapText="1"/>
      <protection hidden="1"/>
    </xf>
    <xf numFmtId="3" fontId="4" fillId="0" borderId="0" xfId="0" applyNumberFormat="1" applyFont="1" applyFill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center"/>
      <protection hidden="1"/>
    </xf>
    <xf numFmtId="165" fontId="2" fillId="0" borderId="0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ill="1" applyAlignment="1" applyProtection="1">
      <alignment horizontal="center" wrapText="1"/>
      <protection hidden="1"/>
    </xf>
    <xf numFmtId="3" fontId="0" fillId="0" borderId="0" xfId="0" applyNumberFormat="1" applyFill="1" applyAlignment="1" applyProtection="1">
      <alignment horizontal="center"/>
      <protection hidden="1"/>
    </xf>
    <xf numFmtId="3" fontId="0" fillId="0" borderId="0" xfId="0" applyNumberFormat="1" applyFill="1" applyAlignment="1" applyProtection="1">
      <alignment horizontal="center" vertical="center" wrapText="1"/>
      <protection hidden="1"/>
    </xf>
    <xf numFmtId="3" fontId="0" fillId="0" borderId="0" xfId="0" applyNumberFormat="1" applyFill="1" applyAlignment="1" applyProtection="1">
      <alignment horizontal="center" vertical="center"/>
      <protection hidden="1"/>
    </xf>
    <xf numFmtId="0" fontId="53" fillId="0" borderId="25" xfId="0" applyFont="1" applyBorder="1" applyAlignment="1" applyProtection="1">
      <alignment horizontal="center"/>
      <protection hidden="1"/>
    </xf>
    <xf numFmtId="0" fontId="53" fillId="0" borderId="48" xfId="0" applyFont="1" applyBorder="1" applyAlignment="1" applyProtection="1">
      <alignment horizontal="center"/>
      <protection hidden="1"/>
    </xf>
    <xf numFmtId="0" fontId="53" fillId="0" borderId="45" xfId="0" applyFont="1" applyBorder="1" applyAlignment="1" applyProtection="1">
      <alignment horizontal="center"/>
      <protection hidden="1"/>
    </xf>
    <xf numFmtId="3" fontId="40" fillId="0" borderId="47" xfId="0" applyNumberFormat="1" applyFont="1" applyBorder="1" applyAlignment="1" applyProtection="1">
      <alignment horizontal="center" vertical="center" wrapText="1"/>
      <protection hidden="1"/>
    </xf>
    <xf numFmtId="3" fontId="40" fillId="0" borderId="24" xfId="0" applyNumberFormat="1" applyFont="1" applyBorder="1" applyAlignment="1" applyProtection="1">
      <alignment horizontal="center" vertical="center" wrapText="1"/>
      <protection hidden="1"/>
    </xf>
    <xf numFmtId="0" fontId="40" fillId="0" borderId="25" xfId="0" applyFont="1" applyBorder="1" applyAlignment="1" applyProtection="1">
      <alignment horizontal="center" vertical="center"/>
      <protection hidden="1"/>
    </xf>
    <xf numFmtId="0" fontId="40" fillId="0" borderId="45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right" vertical="center"/>
      <protection hidden="1"/>
    </xf>
    <xf numFmtId="0" fontId="53" fillId="0" borderId="25" xfId="0" applyFont="1" applyBorder="1" applyAlignment="1" applyProtection="1">
      <alignment horizontal="center" vertical="center"/>
      <protection hidden="1"/>
    </xf>
    <xf numFmtId="0" fontId="53" fillId="0" borderId="48" xfId="0" applyFont="1" applyBorder="1" applyAlignment="1" applyProtection="1">
      <alignment horizontal="center" vertical="center"/>
      <protection hidden="1"/>
    </xf>
    <xf numFmtId="0" fontId="53" fillId="0" borderId="45" xfId="0" applyFont="1" applyBorder="1" applyAlignment="1" applyProtection="1">
      <alignment horizontal="center" vertical="center"/>
      <protection hidden="1"/>
    </xf>
    <xf numFmtId="0" fontId="41" fillId="0" borderId="18" xfId="0" applyFont="1" applyBorder="1" applyAlignment="1" applyProtection="1">
      <alignment horizontal="center" vertical="center" wrapText="1"/>
      <protection hidden="1"/>
    </xf>
    <xf numFmtId="3" fontId="1" fillId="0" borderId="18" xfId="0" applyNumberFormat="1" applyFont="1" applyBorder="1" applyAlignment="1" applyProtection="1">
      <alignment horizontal="center" vertical="center" wrapText="1"/>
      <protection hidden="1"/>
    </xf>
    <xf numFmtId="0" fontId="5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3" fillId="24" borderId="13" xfId="0" applyFont="1" applyFill="1" applyBorder="1" applyAlignment="1" applyProtection="1">
      <alignment horizontal="center" vertical="center"/>
      <protection hidden="1"/>
    </xf>
    <xf numFmtId="7" fontId="40" fillId="11" borderId="18" xfId="0" applyNumberFormat="1" applyFont="1" applyFill="1" applyBorder="1" applyAlignment="1" applyProtection="1">
      <alignment horizontal="right" vertical="center"/>
      <protection hidden="1"/>
    </xf>
    <xf numFmtId="165" fontId="40" fillId="27" borderId="18" xfId="0" applyNumberFormat="1" applyFont="1" applyFill="1" applyBorder="1" applyAlignment="1" applyProtection="1">
      <alignment horizontal="right" vertical="center"/>
      <protection hidden="1"/>
    </xf>
    <xf numFmtId="7" fontId="40" fillId="19" borderId="18" xfId="0" applyNumberFormat="1" applyFont="1" applyFill="1" applyBorder="1" applyAlignment="1" applyProtection="1">
      <alignment horizontal="right" vertical="center"/>
      <protection hidden="1"/>
    </xf>
    <xf numFmtId="0" fontId="1" fillId="8" borderId="0" xfId="0" applyNumberFormat="1" applyFont="1" applyFill="1" applyBorder="1" applyAlignment="1" applyProtection="1">
      <alignment horizontal="left" vertical="center" shrinkToFit="1"/>
      <protection hidden="1"/>
    </xf>
    <xf numFmtId="170" fontId="1" fillId="8" borderId="0" xfId="0" applyNumberFormat="1" applyFont="1" applyFill="1" applyBorder="1" applyAlignment="1" applyProtection="1">
      <alignment horizontal="left" vertical="center"/>
      <protection hidden="1"/>
    </xf>
    <xf numFmtId="0" fontId="43" fillId="15" borderId="15" xfId="0" applyFont="1" applyFill="1" applyBorder="1" applyAlignment="1" applyProtection="1">
      <alignment horizontal="center" vertical="center"/>
      <protection hidden="1"/>
    </xf>
    <xf numFmtId="0" fontId="37" fillId="15" borderId="16" xfId="0" applyFont="1" applyFill="1" applyBorder="1" applyAlignment="1" applyProtection="1">
      <alignment horizontal="center" vertical="center"/>
      <protection hidden="1"/>
    </xf>
    <xf numFmtId="0" fontId="37" fillId="15" borderId="17" xfId="0" applyFont="1" applyFill="1" applyBorder="1" applyAlignment="1" applyProtection="1">
      <alignment horizontal="center" vertical="center"/>
      <protection hidden="1"/>
    </xf>
    <xf numFmtId="0" fontId="43" fillId="15" borderId="16" xfId="0" applyFont="1" applyFill="1" applyBorder="1" applyAlignment="1" applyProtection="1">
      <alignment horizontal="center" vertical="center"/>
      <protection hidden="1"/>
    </xf>
    <xf numFmtId="0" fontId="43" fillId="15" borderId="17" xfId="0" applyFont="1" applyFill="1" applyBorder="1" applyAlignment="1" applyProtection="1">
      <alignment horizontal="center" vertical="center"/>
      <protection hidden="1"/>
    </xf>
    <xf numFmtId="0" fontId="2" fillId="15" borderId="12" xfId="0" applyFont="1" applyFill="1" applyBorder="1" applyAlignment="1" applyProtection="1">
      <alignment horizontal="center" vertical="center"/>
      <protection hidden="1"/>
    </xf>
    <xf numFmtId="0" fontId="2" fillId="15" borderId="13" xfId="0" applyFont="1" applyFill="1" applyBorder="1" applyAlignment="1" applyProtection="1">
      <alignment horizontal="center" vertical="center"/>
      <protection hidden="1"/>
    </xf>
    <xf numFmtId="0" fontId="2" fillId="15" borderId="14" xfId="0" applyFont="1" applyFill="1" applyBorder="1" applyAlignment="1" applyProtection="1">
      <alignment horizontal="center" vertical="center"/>
      <protection hidden="1"/>
    </xf>
    <xf numFmtId="7" fontId="40" fillId="27" borderId="18" xfId="0" applyNumberFormat="1" applyFont="1" applyFill="1" applyBorder="1" applyAlignment="1" applyProtection="1">
      <alignment horizontal="right" vertical="center"/>
      <protection hidden="1"/>
    </xf>
    <xf numFmtId="0" fontId="14" fillId="11" borderId="16" xfId="0" applyFont="1" applyFill="1" applyBorder="1" applyAlignment="1" applyProtection="1">
      <alignment horizontal="center" wrapText="1"/>
      <protection hidden="1"/>
    </xf>
    <xf numFmtId="0" fontId="0" fillId="11" borderId="16" xfId="0" applyFill="1" applyBorder="1" applyAlignment="1">
      <alignment/>
    </xf>
    <xf numFmtId="0" fontId="0" fillId="11" borderId="0" xfId="0" applyFill="1" applyBorder="1" applyAlignment="1">
      <alignment/>
    </xf>
    <xf numFmtId="3" fontId="41" fillId="11" borderId="13" xfId="0" applyNumberFormat="1" applyFont="1" applyFill="1" applyBorder="1" applyAlignment="1" applyProtection="1">
      <alignment horizontal="center" vertical="center"/>
      <protection hidden="1"/>
    </xf>
    <xf numFmtId="0" fontId="41" fillId="11" borderId="13" xfId="0" applyFont="1" applyFill="1" applyBorder="1" applyAlignment="1" applyProtection="1">
      <alignment horizontal="center" vertical="center"/>
      <protection hidden="1"/>
    </xf>
    <xf numFmtId="201" fontId="0" fillId="24" borderId="50" xfId="0" applyNumberFormat="1" applyFill="1" applyBorder="1" applyAlignment="1" applyProtection="1">
      <alignment horizontal="center"/>
      <protection hidden="1"/>
    </xf>
    <xf numFmtId="0" fontId="1" fillId="15" borderId="12" xfId="0" applyFont="1" applyFill="1" applyBorder="1" applyAlignment="1" applyProtection="1">
      <alignment horizontal="center" vertical="center"/>
      <protection hidden="1"/>
    </xf>
    <xf numFmtId="0" fontId="1" fillId="15" borderId="13" xfId="0" applyFont="1" applyFill="1" applyBorder="1" applyAlignment="1" applyProtection="1">
      <alignment horizontal="center" vertical="center"/>
      <protection hidden="1"/>
    </xf>
    <xf numFmtId="0" fontId="1" fillId="15" borderId="14" xfId="0" applyFont="1" applyFill="1" applyBorder="1" applyAlignment="1" applyProtection="1">
      <alignment horizontal="center" vertical="center"/>
      <protection hidden="1"/>
    </xf>
    <xf numFmtId="0" fontId="14" fillId="28" borderId="15" xfId="0" applyFont="1" applyFill="1" applyBorder="1" applyAlignment="1" applyProtection="1">
      <alignment horizontal="center" vertical="center" wrapText="1"/>
      <protection hidden="1"/>
    </xf>
    <xf numFmtId="0" fontId="14" fillId="28" borderId="16" xfId="0" applyFont="1" applyFill="1" applyBorder="1" applyAlignment="1" applyProtection="1">
      <alignment horizontal="center" vertical="center" wrapText="1"/>
      <protection hidden="1"/>
    </xf>
    <xf numFmtId="0" fontId="14" fillId="28" borderId="17" xfId="0" applyFont="1" applyFill="1" applyBorder="1" applyAlignment="1" applyProtection="1">
      <alignment horizontal="center" vertical="center" wrapText="1"/>
      <protection hidden="1"/>
    </xf>
    <xf numFmtId="0" fontId="14" fillId="28" borderId="10" xfId="0" applyFont="1" applyFill="1" applyBorder="1" applyAlignment="1" applyProtection="1">
      <alignment horizontal="center" vertical="center" wrapText="1"/>
      <protection hidden="1"/>
    </xf>
    <xf numFmtId="0" fontId="14" fillId="28" borderId="0" xfId="0" applyFont="1" applyFill="1" applyBorder="1" applyAlignment="1" applyProtection="1">
      <alignment horizontal="center" vertical="center" wrapText="1"/>
      <protection hidden="1"/>
    </xf>
    <xf numFmtId="0" fontId="14" fillId="28" borderId="11" xfId="0" applyFont="1" applyFill="1" applyBorder="1" applyAlignment="1" applyProtection="1">
      <alignment horizontal="center" vertical="center" wrapText="1"/>
      <protection hidden="1"/>
    </xf>
    <xf numFmtId="0" fontId="1" fillId="1" borderId="10" xfId="0" applyFont="1" applyFill="1" applyBorder="1" applyAlignment="1" applyProtection="1">
      <alignment horizontal="center" vertical="center"/>
      <protection hidden="1"/>
    </xf>
    <xf numFmtId="0" fontId="1" fillId="1" borderId="0" xfId="0" applyFont="1" applyFill="1" applyBorder="1" applyAlignment="1" applyProtection="1">
      <alignment horizontal="center" vertical="center"/>
      <protection hidden="1"/>
    </xf>
    <xf numFmtId="0" fontId="1" fillId="1" borderId="11" xfId="0" applyFont="1" applyFill="1" applyBorder="1" applyAlignment="1" applyProtection="1">
      <alignment horizontal="center" vertical="center"/>
      <protection hidden="1"/>
    </xf>
    <xf numFmtId="0" fontId="1" fillId="1" borderId="10" xfId="0" applyFont="1" applyFill="1" applyBorder="1" applyAlignment="1" applyProtection="1">
      <alignment horizontal="center" vertical="center" wrapText="1"/>
      <protection hidden="1"/>
    </xf>
    <xf numFmtId="7" fontId="40" fillId="27" borderId="23" xfId="0" applyNumberFormat="1" applyFont="1" applyFill="1" applyBorder="1" applyAlignment="1" applyProtection="1">
      <alignment horizontal="right" vertical="center"/>
      <protection hidden="1"/>
    </xf>
    <xf numFmtId="170" fontId="2" fillId="14" borderId="0" xfId="0" applyNumberFormat="1" applyFont="1" applyFill="1" applyBorder="1" applyAlignment="1" applyProtection="1">
      <alignment horizontal="left" vertical="center" shrinkToFit="1"/>
      <protection hidden="1"/>
    </xf>
    <xf numFmtId="170" fontId="1" fillId="14" borderId="0" xfId="0" applyNumberFormat="1" applyFont="1" applyFill="1" applyBorder="1" applyAlignment="1" applyProtection="1">
      <alignment horizontal="left" vertical="center" shrinkToFit="1"/>
      <protection hidden="1"/>
    </xf>
    <xf numFmtId="170" fontId="2" fillId="14" borderId="0" xfId="0" applyNumberFormat="1" applyFont="1" applyFill="1" applyBorder="1" applyAlignment="1" applyProtection="1">
      <alignment horizontal="left" vertical="center" shrinkToFit="1"/>
      <protection hidden="1"/>
    </xf>
    <xf numFmtId="170" fontId="1" fillId="14" borderId="19" xfId="0" applyNumberFormat="1" applyFont="1" applyFill="1" applyBorder="1" applyAlignment="1" applyProtection="1">
      <alignment horizontal="left" vertical="center" shrinkToFit="1"/>
      <protection hidden="1"/>
    </xf>
    <xf numFmtId="170" fontId="1" fillId="22" borderId="19" xfId="0" applyNumberFormat="1" applyFont="1" applyFill="1" applyBorder="1" applyAlignment="1" applyProtection="1">
      <alignment horizontal="left" vertical="center" shrinkToFit="1"/>
      <protection hidden="1"/>
    </xf>
    <xf numFmtId="0" fontId="2" fillId="28" borderId="12" xfId="0" applyFont="1" applyFill="1" applyBorder="1" applyAlignment="1" applyProtection="1">
      <alignment horizontal="center"/>
      <protection hidden="1"/>
    </xf>
    <xf numFmtId="0" fontId="2" fillId="28" borderId="13" xfId="0" applyFont="1" applyFill="1" applyBorder="1" applyAlignment="1" applyProtection="1">
      <alignment horizontal="center"/>
      <protection hidden="1"/>
    </xf>
    <xf numFmtId="0" fontId="2" fillId="28" borderId="14" xfId="0" applyFont="1" applyFill="1" applyBorder="1" applyAlignment="1" applyProtection="1">
      <alignment horizontal="center"/>
      <protection hidden="1"/>
    </xf>
    <xf numFmtId="165" fontId="0" fillId="26" borderId="27" xfId="0" applyNumberFormat="1" applyFill="1" applyBorder="1" applyAlignment="1" applyProtection="1">
      <alignment horizontal="right"/>
      <protection hidden="1"/>
    </xf>
    <xf numFmtId="165" fontId="0" fillId="26" borderId="32" xfId="0" applyNumberFormat="1" applyFill="1" applyBorder="1" applyAlignment="1" applyProtection="1">
      <alignment horizontal="right"/>
      <protection hidden="1"/>
    </xf>
    <xf numFmtId="0" fontId="8" fillId="26" borderId="29" xfId="0" applyNumberFormat="1" applyFont="1" applyFill="1" applyBorder="1" applyAlignment="1" applyProtection="1">
      <alignment horizontal="center" vertical="center" wrapText="1"/>
      <protection hidden="1"/>
    </xf>
    <xf numFmtId="0" fontId="8" fillId="26" borderId="32" xfId="0" applyNumberFormat="1" applyFont="1" applyFill="1" applyBorder="1" applyAlignment="1" applyProtection="1">
      <alignment horizontal="center" vertical="center" wrapText="1"/>
      <protection hidden="1"/>
    </xf>
    <xf numFmtId="165" fontId="0" fillId="26" borderId="29" xfId="0" applyNumberFormat="1" applyFill="1" applyBorder="1" applyAlignment="1" applyProtection="1">
      <alignment horizontal="right"/>
      <protection hidden="1"/>
    </xf>
    <xf numFmtId="165" fontId="5" fillId="26" borderId="29" xfId="0" applyNumberFormat="1" applyFont="1" applyFill="1" applyBorder="1" applyAlignment="1" applyProtection="1">
      <alignment horizontal="right"/>
      <protection hidden="1"/>
    </xf>
    <xf numFmtId="165" fontId="5" fillId="26" borderId="32" xfId="0" applyNumberFormat="1" applyFont="1" applyFill="1" applyBorder="1" applyAlignment="1" applyProtection="1">
      <alignment horizontal="right"/>
      <protection hidden="1"/>
    </xf>
    <xf numFmtId="2" fontId="5" fillId="26" borderId="29" xfId="0" applyNumberFormat="1" applyFont="1" applyFill="1" applyBorder="1" applyAlignment="1" applyProtection="1">
      <alignment horizontal="left"/>
      <protection hidden="1"/>
    </xf>
    <xf numFmtId="2" fontId="5" fillId="26" borderId="32" xfId="0" applyNumberFormat="1" applyFont="1" applyFill="1" applyBorder="1" applyAlignment="1" applyProtection="1">
      <alignment horizontal="left"/>
      <protection hidden="1"/>
    </xf>
    <xf numFmtId="0" fontId="6" fillId="26" borderId="26" xfId="0" applyFont="1" applyFill="1" applyBorder="1" applyAlignment="1" applyProtection="1">
      <alignment horizontal="left" vertical="center"/>
      <protection hidden="1"/>
    </xf>
    <xf numFmtId="0" fontId="6" fillId="26" borderId="34" xfId="0" applyFont="1" applyFill="1" applyBorder="1" applyAlignment="1" applyProtection="1">
      <alignment horizontal="left" vertical="center"/>
      <protection hidden="1"/>
    </xf>
    <xf numFmtId="165" fontId="5" fillId="26" borderId="27" xfId="0" applyNumberFormat="1" applyFont="1" applyFill="1" applyBorder="1" applyAlignment="1" applyProtection="1">
      <alignment horizontal="right"/>
      <protection hidden="1"/>
    </xf>
    <xf numFmtId="0" fontId="5" fillId="26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26" borderId="32" xfId="0" applyNumberFormat="1" applyFont="1" applyFill="1" applyBorder="1" applyAlignment="1" applyProtection="1">
      <alignment horizontal="center" vertical="center" wrapText="1"/>
      <protection hidden="1"/>
    </xf>
    <xf numFmtId="0" fontId="5" fillId="26" borderId="26" xfId="0" applyNumberFormat="1" applyFont="1" applyFill="1" applyBorder="1" applyAlignment="1" applyProtection="1">
      <alignment horizontal="center" vertical="center"/>
      <protection hidden="1"/>
    </xf>
    <xf numFmtId="0" fontId="5" fillId="26" borderId="34" xfId="0" applyNumberFormat="1" applyFont="1" applyFill="1" applyBorder="1" applyAlignment="1" applyProtection="1">
      <alignment horizontal="center" vertical="center"/>
      <protection hidden="1"/>
    </xf>
    <xf numFmtId="170" fontId="0" fillId="26" borderId="0" xfId="0" applyNumberFormat="1" applyFont="1" applyFill="1" applyBorder="1" applyAlignment="1" applyProtection="1">
      <alignment horizontal="center"/>
      <protection hidden="1"/>
    </xf>
    <xf numFmtId="0" fontId="5" fillId="26" borderId="29" xfId="0" applyFont="1" applyFill="1" applyBorder="1" applyAlignment="1" applyProtection="1">
      <alignment horizontal="center" vertical="center" wrapText="1"/>
      <protection hidden="1"/>
    </xf>
    <xf numFmtId="0" fontId="5" fillId="26" borderId="32" xfId="0" applyFont="1" applyFill="1" applyBorder="1" applyAlignment="1" applyProtection="1">
      <alignment horizontal="center" vertical="center" wrapText="1"/>
      <protection hidden="1"/>
    </xf>
    <xf numFmtId="0" fontId="0" fillId="26" borderId="0" xfId="0" applyFill="1" applyBorder="1" applyAlignment="1" applyProtection="1">
      <alignment horizontal="right"/>
      <protection hidden="1"/>
    </xf>
    <xf numFmtId="7" fontId="5" fillId="26" borderId="26" xfId="0" applyNumberFormat="1" applyFont="1" applyFill="1" applyBorder="1" applyAlignment="1" applyProtection="1">
      <alignment horizontal="right"/>
      <protection hidden="1"/>
    </xf>
    <xf numFmtId="2" fontId="5" fillId="26" borderId="29" xfId="0" applyNumberFormat="1" applyFont="1" applyFill="1" applyBorder="1" applyAlignment="1" applyProtection="1">
      <alignment horizontal="center" vertical="center"/>
      <protection hidden="1"/>
    </xf>
    <xf numFmtId="2" fontId="5" fillId="26" borderId="32" xfId="0" applyNumberFormat="1" applyFont="1" applyFill="1" applyBorder="1" applyAlignment="1" applyProtection="1">
      <alignment horizontal="center" vertical="center"/>
      <protection hidden="1"/>
    </xf>
    <xf numFmtId="2" fontId="5" fillId="26" borderId="27" xfId="0" applyNumberFormat="1" applyFont="1" applyFill="1" applyBorder="1" applyAlignment="1" applyProtection="1">
      <alignment horizontal="left"/>
      <protection hidden="1"/>
    </xf>
    <xf numFmtId="0" fontId="6" fillId="26" borderId="51" xfId="0" applyNumberFormat="1" applyFont="1" applyFill="1" applyBorder="1" applyAlignment="1" applyProtection="1">
      <alignment horizontal="center" vertical="center" wrapText="1"/>
      <protection hidden="1"/>
    </xf>
    <xf numFmtId="0" fontId="6" fillId="26" borderId="52" xfId="0" applyNumberFormat="1" applyFont="1" applyFill="1" applyBorder="1" applyAlignment="1" applyProtection="1">
      <alignment horizontal="center" vertical="center" wrapText="1"/>
      <protection hidden="1"/>
    </xf>
    <xf numFmtId="0" fontId="6" fillId="26" borderId="51" xfId="0" applyFont="1" applyFill="1" applyBorder="1" applyAlignment="1" applyProtection="1">
      <alignment horizontal="center" vertical="center" wrapText="1"/>
      <protection hidden="1"/>
    </xf>
    <xf numFmtId="0" fontId="6" fillId="26" borderId="52" xfId="0" applyFont="1" applyFill="1" applyBorder="1" applyAlignment="1" applyProtection="1">
      <alignment horizontal="center" vertical="center" wrapText="1"/>
      <protection hidden="1"/>
    </xf>
    <xf numFmtId="170" fontId="0" fillId="26" borderId="0" xfId="0" applyNumberFormat="1" applyFont="1" applyFill="1" applyBorder="1" applyAlignment="1" applyProtection="1">
      <alignment horizontal="center"/>
      <protection hidden="1"/>
    </xf>
    <xf numFmtId="165" fontId="5" fillId="26" borderId="29" xfId="0" applyNumberFormat="1" applyFont="1" applyFill="1" applyBorder="1" applyAlignment="1" applyProtection="1">
      <alignment horizontal="center" vertical="center"/>
      <protection hidden="1"/>
    </xf>
    <xf numFmtId="165" fontId="5" fillId="26" borderId="32" xfId="0" applyNumberFormat="1" applyFont="1" applyFill="1" applyBorder="1" applyAlignment="1" applyProtection="1">
      <alignment horizontal="center" vertical="center"/>
      <protection hidden="1"/>
    </xf>
    <xf numFmtId="170" fontId="9" fillId="26" borderId="0" xfId="0" applyNumberFormat="1" applyFont="1" applyFill="1" applyBorder="1" applyAlignment="1" applyProtection="1">
      <alignment horizontal="center"/>
      <protection hidden="1"/>
    </xf>
    <xf numFmtId="7" fontId="5" fillId="26" borderId="27" xfId="0" applyNumberFormat="1" applyFont="1" applyFill="1" applyBorder="1" applyAlignment="1" applyProtection="1">
      <alignment horizontal="right"/>
      <protection hidden="1"/>
    </xf>
    <xf numFmtId="0" fontId="5" fillId="26" borderId="29" xfId="0" applyNumberFormat="1" applyFont="1" applyFill="1" applyBorder="1" applyAlignment="1" applyProtection="1">
      <alignment horizontal="center" vertical="center"/>
      <protection hidden="1"/>
    </xf>
    <xf numFmtId="0" fontId="5" fillId="26" borderId="32" xfId="0" applyNumberFormat="1" applyFont="1" applyFill="1" applyBorder="1" applyAlignment="1" applyProtection="1">
      <alignment horizontal="center" vertical="center"/>
      <protection hidden="1"/>
    </xf>
    <xf numFmtId="170" fontId="8" fillId="26" borderId="0" xfId="0" applyNumberFormat="1" applyFont="1" applyFill="1" applyBorder="1" applyAlignment="1" applyProtection="1">
      <alignment horizontal="center"/>
      <protection hidden="1"/>
    </xf>
    <xf numFmtId="0" fontId="6" fillId="26" borderId="38" xfId="0" applyFont="1" applyFill="1" applyBorder="1" applyAlignment="1" applyProtection="1">
      <alignment horizontal="center" vertical="center" wrapText="1"/>
      <protection hidden="1"/>
    </xf>
    <xf numFmtId="0" fontId="0" fillId="26" borderId="52" xfId="0" applyFill="1" applyBorder="1" applyAlignment="1" applyProtection="1">
      <alignment/>
      <protection hidden="1"/>
    </xf>
    <xf numFmtId="7" fontId="5" fillId="26" borderId="26" xfId="0" applyNumberFormat="1" applyFont="1" applyFill="1" applyBorder="1" applyAlignment="1" applyProtection="1">
      <alignment/>
      <protection hidden="1"/>
    </xf>
    <xf numFmtId="7" fontId="0" fillId="26" borderId="26" xfId="0" applyNumberFormat="1" applyFill="1" applyBorder="1" applyAlignment="1" applyProtection="1">
      <alignment/>
      <protection hidden="1"/>
    </xf>
    <xf numFmtId="7" fontId="5" fillId="26" borderId="0" xfId="0" applyNumberFormat="1" applyFont="1" applyFill="1" applyAlignment="1" applyProtection="1">
      <alignment horizontal="right"/>
      <protection hidden="1"/>
    </xf>
    <xf numFmtId="7" fontId="6" fillId="26" borderId="27" xfId="0" applyNumberFormat="1" applyFont="1" applyFill="1" applyBorder="1" applyAlignment="1" applyProtection="1">
      <alignment horizontal="right"/>
      <protection hidden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denetim belgesi - lütfi" xfId="50"/>
    <cellStyle name="Normal_EK1 TESİSAT İLE EK2 MESLEKİ DEN. UCRETLERI 2006 (2)" xfId="51"/>
    <cellStyle name="Normal_MMOÜC98tus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2106275" y="914400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420600" y="314325"/>
          <a:ext cx="0" cy="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2420600" y="314325"/>
          <a:ext cx="0" cy="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8" name="Rectangle 30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9" name="Rectangle 31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20" name="AutoShape 34"/>
        <xdr:cNvSpPr>
          <a:spLocks/>
        </xdr:cNvSpPr>
      </xdr:nvSpPr>
      <xdr:spPr>
        <a:xfrm>
          <a:off x="12420600" y="314325"/>
          <a:ext cx="0" cy="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2420600" y="314325"/>
          <a:ext cx="0" cy="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22" name="Rectangle 36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23" name="Rectangle 37"/>
        <xdr:cNvSpPr>
          <a:spLocks/>
        </xdr:cNvSpPr>
      </xdr:nvSpPr>
      <xdr:spPr>
        <a:xfrm>
          <a:off x="12420600" y="3143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56</xdr:row>
      <xdr:rowOff>200025</xdr:rowOff>
    </xdr:from>
    <xdr:to>
      <xdr:col>7</xdr:col>
      <xdr:colOff>952500</xdr:colOff>
      <xdr:row>57</xdr:row>
      <xdr:rowOff>161925</xdr:rowOff>
    </xdr:to>
    <xdr:sp>
      <xdr:nvSpPr>
        <xdr:cNvPr id="24" name="AutoShape 68"/>
        <xdr:cNvSpPr>
          <a:spLocks/>
        </xdr:cNvSpPr>
      </xdr:nvSpPr>
      <xdr:spPr>
        <a:xfrm>
          <a:off x="3819525" y="9144000"/>
          <a:ext cx="46672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53</xdr:row>
      <xdr:rowOff>219075</xdr:rowOff>
    </xdr:from>
    <xdr:to>
      <xdr:col>7</xdr:col>
      <xdr:colOff>923925</xdr:colOff>
      <xdr:row>54</xdr:row>
      <xdr:rowOff>228600</xdr:rowOff>
    </xdr:to>
    <xdr:sp>
      <xdr:nvSpPr>
        <xdr:cNvPr id="25" name="AutoShape 71"/>
        <xdr:cNvSpPr>
          <a:spLocks/>
        </xdr:cNvSpPr>
      </xdr:nvSpPr>
      <xdr:spPr>
        <a:xfrm>
          <a:off x="3914775" y="9144000"/>
          <a:ext cx="342900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142875</xdr:rowOff>
    </xdr:from>
    <xdr:to>
      <xdr:col>8</xdr:col>
      <xdr:colOff>485775</xdr:colOff>
      <xdr:row>21</xdr:row>
      <xdr:rowOff>200025</xdr:rowOff>
    </xdr:to>
    <xdr:sp>
      <xdr:nvSpPr>
        <xdr:cNvPr id="26" name="AutoShape 80"/>
        <xdr:cNvSpPr>
          <a:spLocks/>
        </xdr:cNvSpPr>
      </xdr:nvSpPr>
      <xdr:spPr>
        <a:xfrm>
          <a:off x="4362450" y="4333875"/>
          <a:ext cx="466725" cy="2000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342900</xdr:colOff>
      <xdr:row>26</xdr:row>
      <xdr:rowOff>28575</xdr:rowOff>
    </xdr:to>
    <xdr:sp>
      <xdr:nvSpPr>
        <xdr:cNvPr id="27" name="AutoShape 84"/>
        <xdr:cNvSpPr>
          <a:spLocks/>
        </xdr:cNvSpPr>
      </xdr:nvSpPr>
      <xdr:spPr>
        <a:xfrm>
          <a:off x="4343400" y="5133975"/>
          <a:ext cx="3429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0</xdr:rowOff>
    </xdr:from>
    <xdr:to>
      <xdr:col>8</xdr:col>
      <xdr:colOff>523875</xdr:colOff>
      <xdr:row>30</xdr:row>
      <xdr:rowOff>0</xdr:rowOff>
    </xdr:to>
    <xdr:sp>
      <xdr:nvSpPr>
        <xdr:cNvPr id="28" name="AutoShape 85"/>
        <xdr:cNvSpPr>
          <a:spLocks/>
        </xdr:cNvSpPr>
      </xdr:nvSpPr>
      <xdr:spPr>
        <a:xfrm>
          <a:off x="4400550" y="5534025"/>
          <a:ext cx="466725" cy="2000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9</xdr:row>
      <xdr:rowOff>9525</xdr:rowOff>
    </xdr:from>
    <xdr:to>
      <xdr:col>8</xdr:col>
      <xdr:colOff>504825</xdr:colOff>
      <xdr:row>10</xdr:row>
      <xdr:rowOff>9525</xdr:rowOff>
    </xdr:to>
    <xdr:sp>
      <xdr:nvSpPr>
        <xdr:cNvPr id="29" name="AutoShape 88"/>
        <xdr:cNvSpPr>
          <a:spLocks/>
        </xdr:cNvSpPr>
      </xdr:nvSpPr>
      <xdr:spPr>
        <a:xfrm>
          <a:off x="4381500" y="2343150"/>
          <a:ext cx="466725" cy="2095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142875</xdr:rowOff>
    </xdr:from>
    <xdr:to>
      <xdr:col>8</xdr:col>
      <xdr:colOff>485775</xdr:colOff>
      <xdr:row>23</xdr:row>
      <xdr:rowOff>200025</xdr:rowOff>
    </xdr:to>
    <xdr:sp>
      <xdr:nvSpPr>
        <xdr:cNvPr id="30" name="AutoShape 100"/>
        <xdr:cNvSpPr>
          <a:spLocks/>
        </xdr:cNvSpPr>
      </xdr:nvSpPr>
      <xdr:spPr>
        <a:xfrm>
          <a:off x="4362450" y="4676775"/>
          <a:ext cx="466725" cy="2571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8</xdr:col>
      <xdr:colOff>476250</xdr:colOff>
      <xdr:row>17</xdr:row>
      <xdr:rowOff>57150</xdr:rowOff>
    </xdr:to>
    <xdr:sp>
      <xdr:nvSpPr>
        <xdr:cNvPr id="31" name="AutoShape 109"/>
        <xdr:cNvSpPr>
          <a:spLocks/>
        </xdr:cNvSpPr>
      </xdr:nvSpPr>
      <xdr:spPr>
        <a:xfrm>
          <a:off x="4352925" y="3543300"/>
          <a:ext cx="466725" cy="2476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8</xdr:col>
      <xdr:colOff>476250</xdr:colOff>
      <xdr:row>15</xdr:row>
      <xdr:rowOff>57150</xdr:rowOff>
    </xdr:to>
    <xdr:sp>
      <xdr:nvSpPr>
        <xdr:cNvPr id="32" name="AutoShape 111"/>
        <xdr:cNvSpPr>
          <a:spLocks/>
        </xdr:cNvSpPr>
      </xdr:nvSpPr>
      <xdr:spPr>
        <a:xfrm>
          <a:off x="4352925" y="3152775"/>
          <a:ext cx="466725" cy="2476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180975</xdr:rowOff>
    </xdr:from>
    <xdr:to>
      <xdr:col>8</xdr:col>
      <xdr:colOff>466725</xdr:colOff>
      <xdr:row>19</xdr:row>
      <xdr:rowOff>28575</xdr:rowOff>
    </xdr:to>
    <xdr:sp>
      <xdr:nvSpPr>
        <xdr:cNvPr id="33" name="AutoShape 117"/>
        <xdr:cNvSpPr>
          <a:spLocks/>
        </xdr:cNvSpPr>
      </xdr:nvSpPr>
      <xdr:spPr>
        <a:xfrm>
          <a:off x="4343400" y="3914775"/>
          <a:ext cx="466725" cy="2476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9525</xdr:rowOff>
    </xdr:from>
    <xdr:to>
      <xdr:col>8</xdr:col>
      <xdr:colOff>476250</xdr:colOff>
      <xdr:row>12</xdr:row>
      <xdr:rowOff>57150</xdr:rowOff>
    </xdr:to>
    <xdr:sp>
      <xdr:nvSpPr>
        <xdr:cNvPr id="34" name="AutoShape 118"/>
        <xdr:cNvSpPr>
          <a:spLocks/>
        </xdr:cNvSpPr>
      </xdr:nvSpPr>
      <xdr:spPr>
        <a:xfrm>
          <a:off x="4352925" y="2752725"/>
          <a:ext cx="466725" cy="2476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190500</xdr:rowOff>
    </xdr:from>
    <xdr:to>
      <xdr:col>8</xdr:col>
      <xdr:colOff>504825</xdr:colOff>
      <xdr:row>35</xdr:row>
      <xdr:rowOff>38100</xdr:rowOff>
    </xdr:to>
    <xdr:sp>
      <xdr:nvSpPr>
        <xdr:cNvPr id="35" name="AutoShape 122"/>
        <xdr:cNvSpPr>
          <a:spLocks/>
        </xdr:cNvSpPr>
      </xdr:nvSpPr>
      <xdr:spPr>
        <a:xfrm>
          <a:off x="4381500" y="6524625"/>
          <a:ext cx="466725" cy="2476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9525</xdr:rowOff>
    </xdr:from>
    <xdr:to>
      <xdr:col>8</xdr:col>
      <xdr:colOff>352425</xdr:colOff>
      <xdr:row>32</xdr:row>
      <xdr:rowOff>38100</xdr:rowOff>
    </xdr:to>
    <xdr:sp>
      <xdr:nvSpPr>
        <xdr:cNvPr id="36" name="AutoShape 123"/>
        <xdr:cNvSpPr>
          <a:spLocks/>
        </xdr:cNvSpPr>
      </xdr:nvSpPr>
      <xdr:spPr>
        <a:xfrm>
          <a:off x="4352925" y="5943600"/>
          <a:ext cx="3429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&#304;YAT%20L&#304;STES&#304;\mekaniktes200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mmo.hp"/>
      <sheetName val="mmo.gm"/>
      <sheetName val="mmo.kş"/>
    </sheetNames>
    <sheetDataSet>
      <sheetData sheetId="1">
        <row r="1">
          <cell r="P1" t="str">
            <v>SEÇİNİZ</v>
          </cell>
        </row>
        <row r="2">
          <cell r="P2">
            <v>0</v>
          </cell>
        </row>
        <row r="3">
          <cell r="P3">
            <v>1</v>
          </cell>
        </row>
        <row r="4">
          <cell r="P4">
            <v>2</v>
          </cell>
        </row>
        <row r="5">
          <cell r="P5">
            <v>3</v>
          </cell>
        </row>
        <row r="6">
          <cell r="P6">
            <v>4</v>
          </cell>
        </row>
        <row r="7">
          <cell r="P7">
            <v>5</v>
          </cell>
        </row>
        <row r="8">
          <cell r="P8">
            <v>6</v>
          </cell>
        </row>
        <row r="9">
          <cell r="P9">
            <v>7</v>
          </cell>
        </row>
        <row r="10">
          <cell r="P10">
            <v>8</v>
          </cell>
        </row>
        <row r="11">
          <cell r="P11">
            <v>9</v>
          </cell>
        </row>
        <row r="12">
          <cell r="P12">
            <v>10</v>
          </cell>
        </row>
        <row r="13">
          <cell r="P13">
            <v>11</v>
          </cell>
        </row>
        <row r="14"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  <row r="34">
          <cell r="P34">
            <v>32</v>
          </cell>
        </row>
        <row r="35">
          <cell r="P35">
            <v>33</v>
          </cell>
        </row>
        <row r="36">
          <cell r="P36">
            <v>34</v>
          </cell>
        </row>
        <row r="37">
          <cell r="P37">
            <v>35</v>
          </cell>
        </row>
        <row r="38">
          <cell r="F38" t="str">
            <v>SEÇİNİZ</v>
          </cell>
          <cell r="P38">
            <v>36</v>
          </cell>
        </row>
        <row r="39">
          <cell r="F39" t="str">
            <v>Var</v>
          </cell>
          <cell r="P39">
            <v>37</v>
          </cell>
        </row>
        <row r="40">
          <cell r="F40" t="str">
            <v>Yok</v>
          </cell>
          <cell r="P40">
            <v>38</v>
          </cell>
        </row>
        <row r="41">
          <cell r="P41">
            <v>39</v>
          </cell>
        </row>
        <row r="42">
          <cell r="P42">
            <v>40</v>
          </cell>
        </row>
        <row r="43">
          <cell r="P43">
            <v>41</v>
          </cell>
        </row>
        <row r="44">
          <cell r="P44">
            <v>42</v>
          </cell>
        </row>
        <row r="45">
          <cell r="P45">
            <v>43</v>
          </cell>
        </row>
        <row r="46">
          <cell r="P46">
            <v>44</v>
          </cell>
        </row>
        <row r="47">
          <cell r="P47">
            <v>45</v>
          </cell>
        </row>
        <row r="48">
          <cell r="P48">
            <v>46</v>
          </cell>
        </row>
        <row r="49">
          <cell r="P49">
            <v>47</v>
          </cell>
        </row>
        <row r="50">
          <cell r="P50">
            <v>48</v>
          </cell>
        </row>
        <row r="51">
          <cell r="P51">
            <v>49</v>
          </cell>
        </row>
        <row r="52">
          <cell r="P52">
            <v>50</v>
          </cell>
        </row>
        <row r="53">
          <cell r="P53">
            <v>51</v>
          </cell>
        </row>
        <row r="54">
          <cell r="P54">
            <v>52</v>
          </cell>
        </row>
        <row r="55">
          <cell r="P55">
            <v>53</v>
          </cell>
        </row>
        <row r="56">
          <cell r="P56">
            <v>54</v>
          </cell>
        </row>
        <row r="57">
          <cell r="P57">
            <v>55</v>
          </cell>
        </row>
        <row r="58">
          <cell r="P58">
            <v>56</v>
          </cell>
        </row>
        <row r="59">
          <cell r="P59">
            <v>57</v>
          </cell>
        </row>
        <row r="60">
          <cell r="P60">
            <v>58</v>
          </cell>
        </row>
        <row r="61">
          <cell r="P61">
            <v>59</v>
          </cell>
        </row>
        <row r="62">
          <cell r="P62">
            <v>60</v>
          </cell>
        </row>
        <row r="63">
          <cell r="P63">
            <v>61</v>
          </cell>
        </row>
        <row r="64">
          <cell r="P64">
            <v>62</v>
          </cell>
        </row>
        <row r="65">
          <cell r="P65">
            <v>63</v>
          </cell>
        </row>
        <row r="66">
          <cell r="P66">
            <v>64</v>
          </cell>
        </row>
        <row r="67">
          <cell r="P67">
            <v>65</v>
          </cell>
        </row>
        <row r="68">
          <cell r="P68">
            <v>66</v>
          </cell>
        </row>
        <row r="69">
          <cell r="P69">
            <v>67</v>
          </cell>
        </row>
        <row r="70">
          <cell r="P70">
            <v>68</v>
          </cell>
        </row>
        <row r="71">
          <cell r="P71">
            <v>69</v>
          </cell>
        </row>
        <row r="72">
          <cell r="P72">
            <v>70</v>
          </cell>
        </row>
        <row r="73">
          <cell r="P73">
            <v>71</v>
          </cell>
        </row>
        <row r="74">
          <cell r="P74">
            <v>72</v>
          </cell>
        </row>
        <row r="75">
          <cell r="P75">
            <v>73</v>
          </cell>
        </row>
        <row r="76">
          <cell r="P76">
            <v>74</v>
          </cell>
        </row>
        <row r="77">
          <cell r="P77">
            <v>75</v>
          </cell>
        </row>
        <row r="78">
          <cell r="P78">
            <v>76</v>
          </cell>
        </row>
        <row r="79">
          <cell r="P79">
            <v>77</v>
          </cell>
        </row>
        <row r="80">
          <cell r="P80">
            <v>78</v>
          </cell>
        </row>
        <row r="81">
          <cell r="P81">
            <v>79</v>
          </cell>
        </row>
        <row r="82">
          <cell r="P82">
            <v>80</v>
          </cell>
        </row>
        <row r="83">
          <cell r="P83">
            <v>81</v>
          </cell>
        </row>
        <row r="84">
          <cell r="P84">
            <v>82</v>
          </cell>
        </row>
        <row r="85">
          <cell r="P85">
            <v>83</v>
          </cell>
        </row>
        <row r="86">
          <cell r="P86">
            <v>84</v>
          </cell>
        </row>
        <row r="87">
          <cell r="P87">
            <v>85</v>
          </cell>
        </row>
        <row r="88">
          <cell r="P88">
            <v>86</v>
          </cell>
        </row>
        <row r="89">
          <cell r="P89">
            <v>87</v>
          </cell>
        </row>
        <row r="90">
          <cell r="P90">
            <v>88</v>
          </cell>
        </row>
        <row r="91">
          <cell r="P91">
            <v>89</v>
          </cell>
        </row>
        <row r="92">
          <cell r="P92">
            <v>90</v>
          </cell>
        </row>
        <row r="93">
          <cell r="P93">
            <v>91</v>
          </cell>
        </row>
        <row r="94">
          <cell r="P94">
            <v>92</v>
          </cell>
        </row>
        <row r="95">
          <cell r="P95">
            <v>93</v>
          </cell>
        </row>
        <row r="96">
          <cell r="P96">
            <v>94</v>
          </cell>
        </row>
        <row r="97">
          <cell r="P97">
            <v>95</v>
          </cell>
        </row>
        <row r="98">
          <cell r="P98">
            <v>96</v>
          </cell>
        </row>
        <row r="99">
          <cell r="P99">
            <v>97</v>
          </cell>
        </row>
        <row r="100">
          <cell r="P100">
            <v>98</v>
          </cell>
        </row>
        <row r="101">
          <cell r="P101">
            <v>99</v>
          </cell>
        </row>
      </sheetData>
      <sheetData sheetId="3">
        <row r="9">
          <cell r="C9" t="str">
            <v>SEÇİNİZ</v>
          </cell>
          <cell r="D9">
            <v>1</v>
          </cell>
          <cell r="E9">
            <v>2</v>
          </cell>
          <cell r="F9" t="str">
            <v>3A</v>
          </cell>
          <cell r="G9" t="str">
            <v>3B</v>
          </cell>
          <cell r="H9" t="str">
            <v>4A</v>
          </cell>
          <cell r="I9" t="str">
            <v>4B</v>
          </cell>
          <cell r="J9" t="str">
            <v>4C</v>
          </cell>
          <cell r="K9" t="str">
            <v>5A</v>
          </cell>
          <cell r="L9" t="str">
            <v>5B</v>
          </cell>
          <cell r="M9" t="str">
            <v>5C</v>
          </cell>
          <cell r="N9" t="str">
            <v>5D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pane ySplit="8" topLeftCell="BM9" activePane="bottomLeft" state="frozen"/>
      <selection pane="topLeft" activeCell="P78" sqref="P78"/>
      <selection pane="bottomLeft" activeCell="K32" sqref="K32"/>
    </sheetView>
  </sheetViews>
  <sheetFormatPr defaultColWidth="9.140625" defaultRowHeight="12.75"/>
  <cols>
    <col min="1" max="1" width="8.421875" style="278" customWidth="1"/>
    <col min="2" max="2" width="7.140625" style="279" hidden="1" customWidth="1"/>
    <col min="3" max="3" width="9.140625" style="279" hidden="1" customWidth="1"/>
    <col min="4" max="4" width="7.421875" style="279" hidden="1" customWidth="1"/>
    <col min="5" max="5" width="4.8515625" style="279" hidden="1" customWidth="1"/>
    <col min="6" max="6" width="4.7109375" style="279" hidden="1" customWidth="1"/>
    <col min="7" max="7" width="11.8515625" style="280" hidden="1" customWidth="1"/>
    <col min="8" max="18" width="8.7109375" style="276" customWidth="1"/>
    <col min="19" max="16384" width="9.140625" style="276" customWidth="1"/>
  </cols>
  <sheetData>
    <row r="1" spans="1:18" ht="12.75">
      <c r="A1" s="463" t="s">
        <v>171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</row>
    <row r="2" spans="1:18" ht="12.75">
      <c r="A2" s="465" t="str">
        <f>CONCATENATE(VERİLER!$R$24," TARİHLERİ ARASINDA UYGULANACAK TESİSAT MÜHENDİSLİĞİ PROJE HİZMETLERİ ve TEKNİK")</f>
        <v>01 Temmuz - 31 Aralık 2009  TARİHLERİ ARASINDA UYGULANACAK TESİSAT MÜHENDİSLİĞİ PROJE HİZMETLERİ ve TEKNİK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</row>
    <row r="3" spans="1:18" ht="12.75">
      <c r="A3" s="465" t="s">
        <v>170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</row>
    <row r="4" spans="1:18" ht="7.5" customHeight="1">
      <c r="A4" s="337"/>
      <c r="B4" s="338"/>
      <c r="C4" s="338"/>
      <c r="D4" s="338"/>
      <c r="E4" s="338"/>
      <c r="F4" s="338"/>
      <c r="G4" s="339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</row>
    <row r="5" spans="1:18" ht="12.75">
      <c r="A5" s="341" t="s">
        <v>13</v>
      </c>
      <c r="B5" s="342"/>
      <c r="C5" s="343"/>
      <c r="D5" s="343"/>
      <c r="E5" s="343"/>
      <c r="F5" s="343"/>
      <c r="G5" s="344"/>
      <c r="H5" s="345">
        <v>1</v>
      </c>
      <c r="I5" s="346">
        <v>2</v>
      </c>
      <c r="J5" s="347" t="s">
        <v>14</v>
      </c>
      <c r="K5" s="347" t="s">
        <v>15</v>
      </c>
      <c r="L5" s="347" t="s">
        <v>16</v>
      </c>
      <c r="M5" s="347" t="s">
        <v>17</v>
      </c>
      <c r="N5" s="347" t="s">
        <v>18</v>
      </c>
      <c r="O5" s="347" t="s">
        <v>19</v>
      </c>
      <c r="P5" s="347" t="s">
        <v>20</v>
      </c>
      <c r="Q5" s="347" t="s">
        <v>21</v>
      </c>
      <c r="R5" s="347" t="s">
        <v>22</v>
      </c>
    </row>
    <row r="6" spans="1:18" s="277" customFormat="1" ht="11.25">
      <c r="A6" s="348" t="s">
        <v>23</v>
      </c>
      <c r="B6" s="349"/>
      <c r="C6" s="350"/>
      <c r="D6" s="350"/>
      <c r="E6" s="350"/>
      <c r="F6" s="350"/>
      <c r="G6" s="351"/>
      <c r="H6" s="313">
        <f>VERİLER!$M$9</f>
        <v>123</v>
      </c>
      <c r="I6" s="313">
        <f>VERİLER!$N$9</f>
        <v>268</v>
      </c>
      <c r="J6" s="313">
        <f>VERİLER!$O$9</f>
        <v>437</v>
      </c>
      <c r="K6" s="313">
        <f>VERİLER!$P$9</f>
        <v>498</v>
      </c>
      <c r="L6" s="313">
        <f>VERİLER!$Q$9</f>
        <v>561</v>
      </c>
      <c r="M6" s="313">
        <f>VERİLER!$R$9</f>
        <v>622</v>
      </c>
      <c r="N6" s="313">
        <f>VERİLER!$S$9</f>
        <v>746</v>
      </c>
      <c r="O6" s="313">
        <f>VERİLER!$T$9</f>
        <v>926</v>
      </c>
      <c r="P6" s="313">
        <f>VERİLER!$U$9</f>
        <v>1122</v>
      </c>
      <c r="Q6" s="313">
        <f>VERİLER!$V$9</f>
        <v>1279</v>
      </c>
      <c r="R6" s="313">
        <f>VERİLER!$W$9</f>
        <v>1528</v>
      </c>
    </row>
    <row r="7" spans="1:18" ht="12.75">
      <c r="A7" s="352" t="s">
        <v>24</v>
      </c>
      <c r="B7" s="353">
        <v>1</v>
      </c>
      <c r="C7" s="353">
        <v>2</v>
      </c>
      <c r="D7" s="353">
        <v>3</v>
      </c>
      <c r="E7" s="353">
        <v>4</v>
      </c>
      <c r="F7" s="353">
        <v>5</v>
      </c>
      <c r="G7" s="353"/>
      <c r="H7" s="354" t="s">
        <v>86</v>
      </c>
      <c r="I7" s="354" t="s">
        <v>86</v>
      </c>
      <c r="J7" s="354" t="s">
        <v>86</v>
      </c>
      <c r="K7" s="354" t="s">
        <v>86</v>
      </c>
      <c r="L7" s="354" t="s">
        <v>86</v>
      </c>
      <c r="M7" s="354" t="s">
        <v>86</v>
      </c>
      <c r="N7" s="354" t="s">
        <v>86</v>
      </c>
      <c r="O7" s="354" t="s">
        <v>86</v>
      </c>
      <c r="P7" s="354" t="s">
        <v>86</v>
      </c>
      <c r="Q7" s="354" t="s">
        <v>86</v>
      </c>
      <c r="R7" s="354" t="s">
        <v>86</v>
      </c>
    </row>
    <row r="8" spans="1:18" ht="12.75" hidden="1">
      <c r="A8" s="355">
        <v>10</v>
      </c>
      <c r="B8" s="356">
        <v>4.37</v>
      </c>
      <c r="C8" s="356">
        <v>4.93</v>
      </c>
      <c r="D8" s="356">
        <v>5.49</v>
      </c>
      <c r="E8" s="356">
        <v>6.85</v>
      </c>
      <c r="F8" s="356">
        <v>6.61</v>
      </c>
      <c r="G8" s="357">
        <v>1</v>
      </c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18" ht="12.75" hidden="1">
      <c r="A9" s="355">
        <v>50</v>
      </c>
      <c r="B9" s="356">
        <v>4.37</v>
      </c>
      <c r="C9" s="356">
        <v>4.93</v>
      </c>
      <c r="D9" s="356">
        <v>5.49</v>
      </c>
      <c r="E9" s="356">
        <v>6.85</v>
      </c>
      <c r="F9" s="356">
        <v>6.61</v>
      </c>
      <c r="G9" s="357">
        <v>2</v>
      </c>
      <c r="H9" s="355">
        <f aca="true" t="shared" si="0" ref="H9:H40">$A9*$B9*H$6*$C$60*$J$61*$J$62*$J$63/100</f>
        <v>1.6125300000000002</v>
      </c>
      <c r="I9" s="355">
        <f aca="true" t="shared" si="1" ref="I9:I40">$A9*$C9*$I$6*$C$60*$J$61*$J$62*$J$63/100</f>
        <v>3.9637200000000004</v>
      </c>
      <c r="J9" s="355">
        <f aca="true" t="shared" si="2" ref="J9:J40">$A9*$D9*$J$6*$C$60*$J$61*$J$62*$J$63/100</f>
        <v>7.19739</v>
      </c>
      <c r="K9" s="355">
        <f aca="true" t="shared" si="3" ref="K9:K40">$A9*$D9*$K$6*$C$60*$J$61*$J$62*$J$63/100</f>
        <v>8.20206</v>
      </c>
      <c r="L9" s="355">
        <f aca="true" t="shared" si="4" ref="L9:L40">$A9*$E9*$L$6*$C$60*$J$61*$J$62*$J$63/100</f>
        <v>11.528550000000001</v>
      </c>
      <c r="M9" s="355">
        <f aca="true" t="shared" si="5" ref="M9:M40">$A9*$E9*$M$6*$C$60*$J$61*$J$62*$J$63/100</f>
        <v>12.7821</v>
      </c>
      <c r="N9" s="355">
        <f aca="true" t="shared" si="6" ref="N9:N40">$A9*$E9*$N$6*$C$60*$J$61*$J$62*$J$63/100</f>
        <v>15.3303</v>
      </c>
      <c r="O9" s="355">
        <f aca="true" t="shared" si="7" ref="O9:O40">$A9*$F9*$O$6*$C$60*$J$61*$J$62*$J$63/100</f>
        <v>18.36258</v>
      </c>
      <c r="P9" s="355">
        <f aca="true" t="shared" si="8" ref="P9:P40">$A9*$F9*$P$6*$C$60*$J$61*$J$62*$J$63/100</f>
        <v>22.24926</v>
      </c>
      <c r="Q9" s="355">
        <f aca="true" t="shared" si="9" ref="Q9:Q40">$A9*$F9*$Q$6*$C$60*$J$61*$J$62*$J$63/100</f>
        <v>25.36257</v>
      </c>
      <c r="R9" s="355">
        <f aca="true" t="shared" si="10" ref="R9:R40">$A9*$F9*$R$6*$C$60*$J$61*$J$62*$J$63/100</f>
        <v>30.30024</v>
      </c>
    </row>
    <row r="10" spans="1:18" ht="12.75" hidden="1">
      <c r="A10" s="355">
        <v>100</v>
      </c>
      <c r="B10" s="356">
        <v>4.37</v>
      </c>
      <c r="C10" s="356">
        <v>4.93</v>
      </c>
      <c r="D10" s="356">
        <v>5.49</v>
      </c>
      <c r="E10" s="356">
        <v>6.85</v>
      </c>
      <c r="F10" s="356">
        <v>6.61</v>
      </c>
      <c r="G10" s="358">
        <f aca="true" t="shared" si="11" ref="G10:G57">G9+1</f>
        <v>3</v>
      </c>
      <c r="H10" s="355">
        <f t="shared" si="0"/>
        <v>3.2250600000000005</v>
      </c>
      <c r="I10" s="355">
        <f t="shared" si="1"/>
        <v>7.927440000000001</v>
      </c>
      <c r="J10" s="355">
        <f t="shared" si="2"/>
        <v>14.39478</v>
      </c>
      <c r="K10" s="355">
        <f t="shared" si="3"/>
        <v>16.40412</v>
      </c>
      <c r="L10" s="355">
        <f t="shared" si="4"/>
        <v>23.057100000000002</v>
      </c>
      <c r="M10" s="355">
        <f t="shared" si="5"/>
        <v>25.5642</v>
      </c>
      <c r="N10" s="355">
        <f t="shared" si="6"/>
        <v>30.6606</v>
      </c>
      <c r="O10" s="355">
        <f t="shared" si="7"/>
        <v>36.72516</v>
      </c>
      <c r="P10" s="355">
        <f t="shared" si="8"/>
        <v>44.49852</v>
      </c>
      <c r="Q10" s="355">
        <f t="shared" si="9"/>
        <v>50.72514</v>
      </c>
      <c r="R10" s="355">
        <f t="shared" si="10"/>
        <v>60.60048</v>
      </c>
    </row>
    <row r="11" spans="1:18" s="362" customFormat="1" ht="12.75">
      <c r="A11" s="359">
        <v>150</v>
      </c>
      <c r="B11" s="360">
        <v>4.37</v>
      </c>
      <c r="C11" s="360">
        <v>4.93</v>
      </c>
      <c r="D11" s="360">
        <v>5.49</v>
      </c>
      <c r="E11" s="356">
        <v>6.85</v>
      </c>
      <c r="F11" s="360">
        <v>6.61</v>
      </c>
      <c r="G11" s="361">
        <f t="shared" si="11"/>
        <v>4</v>
      </c>
      <c r="H11" s="359">
        <f t="shared" si="0"/>
        <v>4.8375900000000005</v>
      </c>
      <c r="I11" s="359">
        <f t="shared" si="1"/>
        <v>11.89116</v>
      </c>
      <c r="J11" s="359">
        <f t="shared" si="2"/>
        <v>21.59217</v>
      </c>
      <c r="K11" s="359">
        <f t="shared" si="3"/>
        <v>24.60618</v>
      </c>
      <c r="L11" s="359">
        <f t="shared" si="4"/>
        <v>34.58565</v>
      </c>
      <c r="M11" s="359">
        <f t="shared" si="5"/>
        <v>38.3463</v>
      </c>
      <c r="N11" s="359">
        <f t="shared" si="6"/>
        <v>45.9909</v>
      </c>
      <c r="O11" s="359">
        <f t="shared" si="7"/>
        <v>55.087740000000004</v>
      </c>
      <c r="P11" s="359">
        <f t="shared" si="8"/>
        <v>66.74778</v>
      </c>
      <c r="Q11" s="359">
        <f t="shared" si="9"/>
        <v>76.08771</v>
      </c>
      <c r="R11" s="359">
        <f t="shared" si="10"/>
        <v>90.90072</v>
      </c>
    </row>
    <row r="12" spans="1:18" s="362" customFormat="1" ht="12.75">
      <c r="A12" s="359">
        <v>200</v>
      </c>
      <c r="B12" s="360">
        <v>4.37</v>
      </c>
      <c r="C12" s="360">
        <v>4.93</v>
      </c>
      <c r="D12" s="360">
        <v>5.49</v>
      </c>
      <c r="E12" s="356">
        <v>6.85</v>
      </c>
      <c r="F12" s="360">
        <v>6.61</v>
      </c>
      <c r="G12" s="361">
        <f t="shared" si="11"/>
        <v>5</v>
      </c>
      <c r="H12" s="359">
        <f t="shared" si="0"/>
        <v>6.450120000000001</v>
      </c>
      <c r="I12" s="359">
        <f t="shared" si="1"/>
        <v>15.854880000000001</v>
      </c>
      <c r="J12" s="359">
        <f t="shared" si="2"/>
        <v>28.78956</v>
      </c>
      <c r="K12" s="359">
        <f t="shared" si="3"/>
        <v>32.80824</v>
      </c>
      <c r="L12" s="359">
        <f t="shared" si="4"/>
        <v>46.114200000000004</v>
      </c>
      <c r="M12" s="359">
        <f t="shared" si="5"/>
        <v>51.1284</v>
      </c>
      <c r="N12" s="359">
        <f t="shared" si="6"/>
        <v>61.3212</v>
      </c>
      <c r="O12" s="359">
        <f t="shared" si="7"/>
        <v>73.45032</v>
      </c>
      <c r="P12" s="359">
        <f t="shared" si="8"/>
        <v>88.99704</v>
      </c>
      <c r="Q12" s="359">
        <f t="shared" si="9"/>
        <v>101.45028</v>
      </c>
      <c r="R12" s="359">
        <f t="shared" si="10"/>
        <v>121.20096</v>
      </c>
    </row>
    <row r="13" spans="1:18" s="362" customFormat="1" ht="12">
      <c r="A13" s="359">
        <v>250</v>
      </c>
      <c r="B13" s="360">
        <v>4.37</v>
      </c>
      <c r="C13" s="360">
        <v>4.93</v>
      </c>
      <c r="D13" s="360">
        <v>5.49</v>
      </c>
      <c r="E13" s="360">
        <v>6.85</v>
      </c>
      <c r="F13" s="360">
        <v>6.61</v>
      </c>
      <c r="G13" s="361">
        <f t="shared" si="11"/>
        <v>6</v>
      </c>
      <c r="H13" s="359">
        <f t="shared" si="0"/>
        <v>8.06265</v>
      </c>
      <c r="I13" s="359">
        <f t="shared" si="1"/>
        <v>19.8186</v>
      </c>
      <c r="J13" s="359">
        <f t="shared" si="2"/>
        <v>35.98695</v>
      </c>
      <c r="K13" s="359">
        <f t="shared" si="3"/>
        <v>41.0103</v>
      </c>
      <c r="L13" s="359">
        <f t="shared" si="4"/>
        <v>57.64275000000001</v>
      </c>
      <c r="M13" s="359">
        <f t="shared" si="5"/>
        <v>63.9105</v>
      </c>
      <c r="N13" s="359">
        <f t="shared" si="6"/>
        <v>76.6515</v>
      </c>
      <c r="O13" s="359">
        <f t="shared" si="7"/>
        <v>91.81290000000001</v>
      </c>
      <c r="P13" s="359">
        <f t="shared" si="8"/>
        <v>111.2463</v>
      </c>
      <c r="Q13" s="359">
        <f t="shared" si="9"/>
        <v>126.81285</v>
      </c>
      <c r="R13" s="359">
        <f t="shared" si="10"/>
        <v>151.5012</v>
      </c>
    </row>
    <row r="14" spans="1:18" s="362" customFormat="1" ht="12">
      <c r="A14" s="359">
        <v>300</v>
      </c>
      <c r="B14" s="360">
        <v>4.28</v>
      </c>
      <c r="C14" s="360">
        <v>4.84</v>
      </c>
      <c r="D14" s="360">
        <v>5.4</v>
      </c>
      <c r="E14" s="360">
        <v>5.96</v>
      </c>
      <c r="F14" s="360">
        <v>6.52</v>
      </c>
      <c r="G14" s="361">
        <f t="shared" si="11"/>
        <v>7</v>
      </c>
      <c r="H14" s="359">
        <f t="shared" si="0"/>
        <v>9.47592</v>
      </c>
      <c r="I14" s="359">
        <f t="shared" si="1"/>
        <v>23.348160000000004</v>
      </c>
      <c r="J14" s="359">
        <f t="shared" si="2"/>
        <v>42.476400000000005</v>
      </c>
      <c r="K14" s="359">
        <f t="shared" si="3"/>
        <v>48.40560000000001</v>
      </c>
      <c r="L14" s="359">
        <f t="shared" si="4"/>
        <v>60.18408</v>
      </c>
      <c r="M14" s="359">
        <f t="shared" si="5"/>
        <v>66.72816</v>
      </c>
      <c r="N14" s="359">
        <f t="shared" si="6"/>
        <v>80.03088</v>
      </c>
      <c r="O14" s="359">
        <f t="shared" si="7"/>
        <v>108.67535999999998</v>
      </c>
      <c r="P14" s="359">
        <f t="shared" si="8"/>
        <v>131.67791999999997</v>
      </c>
      <c r="Q14" s="359">
        <f t="shared" si="9"/>
        <v>150.10343999999998</v>
      </c>
      <c r="R14" s="359">
        <f t="shared" si="10"/>
        <v>179.32607999999996</v>
      </c>
    </row>
    <row r="15" spans="1:18" s="362" customFormat="1" ht="12">
      <c r="A15" s="359">
        <v>400</v>
      </c>
      <c r="B15" s="360">
        <v>4.1</v>
      </c>
      <c r="C15" s="360">
        <v>4.66</v>
      </c>
      <c r="D15" s="360">
        <v>5.22</v>
      </c>
      <c r="E15" s="360">
        <v>5.78</v>
      </c>
      <c r="F15" s="360">
        <v>6.34</v>
      </c>
      <c r="G15" s="361">
        <f t="shared" si="11"/>
        <v>8</v>
      </c>
      <c r="H15" s="359">
        <f t="shared" si="0"/>
        <v>12.1032</v>
      </c>
      <c r="I15" s="359">
        <f t="shared" si="1"/>
        <v>29.973119999999998</v>
      </c>
      <c r="J15" s="359">
        <f t="shared" si="2"/>
        <v>54.74736</v>
      </c>
      <c r="K15" s="359">
        <f t="shared" si="3"/>
        <v>62.38944000000001</v>
      </c>
      <c r="L15" s="359">
        <f t="shared" si="4"/>
        <v>77.82192</v>
      </c>
      <c r="M15" s="359">
        <f t="shared" si="5"/>
        <v>86.28384</v>
      </c>
      <c r="N15" s="359">
        <f t="shared" si="6"/>
        <v>103.48512000000001</v>
      </c>
      <c r="O15" s="359">
        <f t="shared" si="7"/>
        <v>140.90016</v>
      </c>
      <c r="P15" s="359">
        <f t="shared" si="8"/>
        <v>170.72351999999998</v>
      </c>
      <c r="Q15" s="359">
        <f t="shared" si="9"/>
        <v>194.61264</v>
      </c>
      <c r="R15" s="359">
        <f t="shared" si="10"/>
        <v>232.50047999999998</v>
      </c>
    </row>
    <row r="16" spans="1:18" s="362" customFormat="1" ht="12">
      <c r="A16" s="359">
        <v>500</v>
      </c>
      <c r="B16" s="360">
        <v>3.92</v>
      </c>
      <c r="C16" s="360">
        <v>4.48</v>
      </c>
      <c r="D16" s="360">
        <v>5.04</v>
      </c>
      <c r="E16" s="360">
        <v>5.6</v>
      </c>
      <c r="F16" s="360">
        <v>6.16</v>
      </c>
      <c r="G16" s="361">
        <f t="shared" si="11"/>
        <v>9</v>
      </c>
      <c r="H16" s="359">
        <f t="shared" si="0"/>
        <v>14.4648</v>
      </c>
      <c r="I16" s="359">
        <f t="shared" si="1"/>
        <v>36.0192</v>
      </c>
      <c r="J16" s="359">
        <f t="shared" si="2"/>
        <v>66.07440000000001</v>
      </c>
      <c r="K16" s="359">
        <f t="shared" si="3"/>
        <v>75.2976</v>
      </c>
      <c r="L16" s="359">
        <f t="shared" si="4"/>
        <v>94.248</v>
      </c>
      <c r="M16" s="359">
        <f t="shared" si="5"/>
        <v>104.49600000000001</v>
      </c>
      <c r="N16" s="359">
        <f t="shared" si="6"/>
        <v>125.32800000000002</v>
      </c>
      <c r="O16" s="359">
        <f t="shared" si="7"/>
        <v>171.1248</v>
      </c>
      <c r="P16" s="359">
        <f t="shared" si="8"/>
        <v>207.34560000000002</v>
      </c>
      <c r="Q16" s="359">
        <f t="shared" si="9"/>
        <v>236.35920000000002</v>
      </c>
      <c r="R16" s="359">
        <f t="shared" si="10"/>
        <v>282.37440000000004</v>
      </c>
    </row>
    <row r="17" spans="1:18" s="362" customFormat="1" ht="12">
      <c r="A17" s="359">
        <v>600</v>
      </c>
      <c r="B17" s="360">
        <v>3.74</v>
      </c>
      <c r="C17" s="360">
        <v>4.3</v>
      </c>
      <c r="D17" s="360">
        <v>4.86</v>
      </c>
      <c r="E17" s="360">
        <v>5.42</v>
      </c>
      <c r="F17" s="360">
        <v>5.98</v>
      </c>
      <c r="G17" s="361">
        <f t="shared" si="11"/>
        <v>10</v>
      </c>
      <c r="H17" s="359">
        <f t="shared" si="0"/>
        <v>16.56072</v>
      </c>
      <c r="I17" s="359">
        <f t="shared" si="1"/>
        <v>41.4864</v>
      </c>
      <c r="J17" s="359">
        <f t="shared" si="2"/>
        <v>76.45752</v>
      </c>
      <c r="K17" s="359">
        <f t="shared" si="3"/>
        <v>87.13007999999999</v>
      </c>
      <c r="L17" s="359">
        <f t="shared" si="4"/>
        <v>109.46232</v>
      </c>
      <c r="M17" s="359">
        <f t="shared" si="5"/>
        <v>121.36464</v>
      </c>
      <c r="N17" s="359">
        <f t="shared" si="6"/>
        <v>145.55952000000002</v>
      </c>
      <c r="O17" s="359">
        <f t="shared" si="7"/>
        <v>199.34928000000002</v>
      </c>
      <c r="P17" s="359">
        <f t="shared" si="8"/>
        <v>241.54416000000003</v>
      </c>
      <c r="Q17" s="359">
        <f t="shared" si="9"/>
        <v>275.34312000000006</v>
      </c>
      <c r="R17" s="359">
        <f t="shared" si="10"/>
        <v>328.94784000000004</v>
      </c>
    </row>
    <row r="18" spans="1:18" s="362" customFormat="1" ht="12">
      <c r="A18" s="359">
        <v>700</v>
      </c>
      <c r="B18" s="360">
        <v>3.56</v>
      </c>
      <c r="C18" s="360">
        <v>4.12</v>
      </c>
      <c r="D18" s="360">
        <v>4.68</v>
      </c>
      <c r="E18" s="360">
        <v>5.24</v>
      </c>
      <c r="F18" s="360">
        <v>5.8</v>
      </c>
      <c r="G18" s="361">
        <f t="shared" si="11"/>
        <v>11</v>
      </c>
      <c r="H18" s="359">
        <f t="shared" si="0"/>
        <v>18.39096</v>
      </c>
      <c r="I18" s="359">
        <f t="shared" si="1"/>
        <v>46.374719999999996</v>
      </c>
      <c r="J18" s="359">
        <f t="shared" si="2"/>
        <v>85.89672</v>
      </c>
      <c r="K18" s="359">
        <f t="shared" si="3"/>
        <v>97.88688</v>
      </c>
      <c r="L18" s="359">
        <f t="shared" si="4"/>
        <v>123.46488</v>
      </c>
      <c r="M18" s="359">
        <f t="shared" si="5"/>
        <v>136.88976</v>
      </c>
      <c r="N18" s="359">
        <f t="shared" si="6"/>
        <v>164.17968000000002</v>
      </c>
      <c r="O18" s="359">
        <f t="shared" si="7"/>
        <v>225.5736</v>
      </c>
      <c r="P18" s="359">
        <f t="shared" si="8"/>
        <v>273.3192</v>
      </c>
      <c r="Q18" s="359">
        <f t="shared" si="9"/>
        <v>311.56440000000003</v>
      </c>
      <c r="R18" s="359">
        <f t="shared" si="10"/>
        <v>372.2208</v>
      </c>
    </row>
    <row r="19" spans="1:18" s="362" customFormat="1" ht="12">
      <c r="A19" s="359">
        <v>800</v>
      </c>
      <c r="B19" s="360">
        <v>3.38</v>
      </c>
      <c r="C19" s="360">
        <v>3.94</v>
      </c>
      <c r="D19" s="360">
        <v>4.5</v>
      </c>
      <c r="E19" s="360">
        <v>5.06</v>
      </c>
      <c r="F19" s="360">
        <v>5.62</v>
      </c>
      <c r="G19" s="361">
        <f t="shared" si="11"/>
        <v>12</v>
      </c>
      <c r="H19" s="359">
        <f t="shared" si="0"/>
        <v>19.95552</v>
      </c>
      <c r="I19" s="359">
        <f t="shared" si="1"/>
        <v>50.68416</v>
      </c>
      <c r="J19" s="359">
        <f t="shared" si="2"/>
        <v>94.39200000000001</v>
      </c>
      <c r="K19" s="359">
        <f t="shared" si="3"/>
        <v>107.56800000000001</v>
      </c>
      <c r="L19" s="359">
        <f t="shared" si="4"/>
        <v>136.25567999999998</v>
      </c>
      <c r="M19" s="359">
        <f t="shared" si="5"/>
        <v>151.07135999999997</v>
      </c>
      <c r="N19" s="359">
        <f t="shared" si="6"/>
        <v>181.18847999999997</v>
      </c>
      <c r="O19" s="359">
        <f t="shared" si="7"/>
        <v>249.79776</v>
      </c>
      <c r="P19" s="359">
        <f t="shared" si="8"/>
        <v>302.67072</v>
      </c>
      <c r="Q19" s="359">
        <f t="shared" si="9"/>
        <v>345.02304000000004</v>
      </c>
      <c r="R19" s="359">
        <f t="shared" si="10"/>
        <v>412.19328</v>
      </c>
    </row>
    <row r="20" spans="1:18" s="362" customFormat="1" ht="12">
      <c r="A20" s="359">
        <v>900</v>
      </c>
      <c r="B20" s="360">
        <v>3.2</v>
      </c>
      <c r="C20" s="360">
        <v>3.76</v>
      </c>
      <c r="D20" s="360">
        <v>4.32</v>
      </c>
      <c r="E20" s="360">
        <v>4.88</v>
      </c>
      <c r="F20" s="360">
        <v>5.44</v>
      </c>
      <c r="G20" s="361">
        <f t="shared" si="11"/>
        <v>13</v>
      </c>
      <c r="H20" s="359">
        <f t="shared" si="0"/>
        <v>21.2544</v>
      </c>
      <c r="I20" s="359">
        <f t="shared" si="1"/>
        <v>54.414719999999996</v>
      </c>
      <c r="J20" s="359">
        <f t="shared" si="2"/>
        <v>101.94336000000001</v>
      </c>
      <c r="K20" s="359">
        <f t="shared" si="3"/>
        <v>116.17344000000001</v>
      </c>
      <c r="L20" s="359">
        <f t="shared" si="4"/>
        <v>147.83472</v>
      </c>
      <c r="M20" s="359">
        <f t="shared" si="5"/>
        <v>163.90944</v>
      </c>
      <c r="N20" s="359">
        <f t="shared" si="6"/>
        <v>196.58592000000002</v>
      </c>
      <c r="O20" s="359">
        <f t="shared" si="7"/>
        <v>272.02176</v>
      </c>
      <c r="P20" s="359">
        <f t="shared" si="8"/>
        <v>329.59872</v>
      </c>
      <c r="Q20" s="359">
        <f t="shared" si="9"/>
        <v>375.71904</v>
      </c>
      <c r="R20" s="359">
        <f t="shared" si="10"/>
        <v>448.86528</v>
      </c>
    </row>
    <row r="21" spans="1:18" s="362" customFormat="1" ht="12">
      <c r="A21" s="359">
        <v>1000</v>
      </c>
      <c r="B21" s="360">
        <v>3.02</v>
      </c>
      <c r="C21" s="360">
        <v>3.58</v>
      </c>
      <c r="D21" s="360">
        <v>4.14</v>
      </c>
      <c r="E21" s="360">
        <v>4.7</v>
      </c>
      <c r="F21" s="360">
        <v>5.26</v>
      </c>
      <c r="G21" s="361">
        <f t="shared" si="11"/>
        <v>14</v>
      </c>
      <c r="H21" s="359">
        <f t="shared" si="0"/>
        <v>22.2876</v>
      </c>
      <c r="I21" s="359">
        <f t="shared" si="1"/>
        <v>57.5664</v>
      </c>
      <c r="J21" s="359">
        <f t="shared" si="2"/>
        <v>108.5508</v>
      </c>
      <c r="K21" s="359">
        <f t="shared" si="3"/>
        <v>123.7032</v>
      </c>
      <c r="L21" s="359">
        <f t="shared" si="4"/>
        <v>158.202</v>
      </c>
      <c r="M21" s="359">
        <f t="shared" si="5"/>
        <v>175.40400000000002</v>
      </c>
      <c r="N21" s="359">
        <f t="shared" si="6"/>
        <v>210.372</v>
      </c>
      <c r="O21" s="359">
        <f t="shared" si="7"/>
        <v>292.2456</v>
      </c>
      <c r="P21" s="359">
        <f t="shared" si="8"/>
        <v>354.1032</v>
      </c>
      <c r="Q21" s="359">
        <f t="shared" si="9"/>
        <v>403.6524</v>
      </c>
      <c r="R21" s="359">
        <f t="shared" si="10"/>
        <v>482.2368</v>
      </c>
    </row>
    <row r="22" spans="1:18" s="362" customFormat="1" ht="12">
      <c r="A22" s="359">
        <v>1500</v>
      </c>
      <c r="B22" s="360">
        <v>2.82</v>
      </c>
      <c r="C22" s="360">
        <v>3.34</v>
      </c>
      <c r="D22" s="360">
        <v>3.85</v>
      </c>
      <c r="E22" s="360">
        <v>4.37</v>
      </c>
      <c r="F22" s="360">
        <v>4.88</v>
      </c>
      <c r="G22" s="361">
        <f t="shared" si="11"/>
        <v>15</v>
      </c>
      <c r="H22" s="359">
        <f t="shared" si="0"/>
        <v>31.2174</v>
      </c>
      <c r="I22" s="359">
        <f t="shared" si="1"/>
        <v>80.5608</v>
      </c>
      <c r="J22" s="359">
        <f t="shared" si="2"/>
        <v>151.4205</v>
      </c>
      <c r="K22" s="359">
        <f t="shared" si="3"/>
        <v>172.55700000000002</v>
      </c>
      <c r="L22" s="359">
        <f t="shared" si="4"/>
        <v>220.6413</v>
      </c>
      <c r="M22" s="359">
        <f t="shared" si="5"/>
        <v>244.63260000000002</v>
      </c>
      <c r="N22" s="359">
        <f t="shared" si="6"/>
        <v>293.4018</v>
      </c>
      <c r="O22" s="359">
        <f t="shared" si="7"/>
        <v>406.69919999999996</v>
      </c>
      <c r="P22" s="359">
        <f t="shared" si="8"/>
        <v>492.7824</v>
      </c>
      <c r="Q22" s="359">
        <f t="shared" si="9"/>
        <v>561.7368</v>
      </c>
      <c r="R22" s="359">
        <f t="shared" si="10"/>
        <v>671.0975999999999</v>
      </c>
    </row>
    <row r="23" spans="1:18" s="362" customFormat="1" ht="12">
      <c r="A23" s="359">
        <v>2000</v>
      </c>
      <c r="B23" s="360">
        <v>2.62</v>
      </c>
      <c r="C23" s="360">
        <v>3.09</v>
      </c>
      <c r="D23" s="360">
        <v>3.56</v>
      </c>
      <c r="E23" s="360">
        <v>4.04</v>
      </c>
      <c r="F23" s="360">
        <v>4.5</v>
      </c>
      <c r="G23" s="361">
        <f t="shared" si="11"/>
        <v>16</v>
      </c>
      <c r="H23" s="359">
        <f t="shared" si="0"/>
        <v>38.6712</v>
      </c>
      <c r="I23" s="359">
        <f t="shared" si="1"/>
        <v>99.37440000000001</v>
      </c>
      <c r="J23" s="359">
        <f t="shared" si="2"/>
        <v>186.6864</v>
      </c>
      <c r="K23" s="359">
        <f t="shared" si="3"/>
        <v>212.74560000000002</v>
      </c>
      <c r="L23" s="359">
        <f t="shared" si="4"/>
        <v>271.9728</v>
      </c>
      <c r="M23" s="359">
        <f t="shared" si="5"/>
        <v>301.54560000000004</v>
      </c>
      <c r="N23" s="359">
        <f t="shared" si="6"/>
        <v>361.6608</v>
      </c>
      <c r="O23" s="359">
        <f t="shared" si="7"/>
        <v>500.04</v>
      </c>
      <c r="P23" s="359">
        <f t="shared" si="8"/>
        <v>605.88</v>
      </c>
      <c r="Q23" s="359">
        <f t="shared" si="9"/>
        <v>690.66</v>
      </c>
      <c r="R23" s="359">
        <f t="shared" si="10"/>
        <v>825.12</v>
      </c>
    </row>
    <row r="24" spans="1:18" s="362" customFormat="1" ht="12">
      <c r="A24" s="359">
        <v>2500</v>
      </c>
      <c r="B24" s="360">
        <v>2.42</v>
      </c>
      <c r="C24" s="360">
        <v>2.84</v>
      </c>
      <c r="D24" s="360">
        <v>3.27</v>
      </c>
      <c r="E24" s="360">
        <v>3.7</v>
      </c>
      <c r="F24" s="360">
        <v>4.12</v>
      </c>
      <c r="G24" s="361">
        <f t="shared" si="11"/>
        <v>17</v>
      </c>
      <c r="H24" s="359">
        <f t="shared" si="0"/>
        <v>44.64900000000001</v>
      </c>
      <c r="I24" s="359">
        <f t="shared" si="1"/>
        <v>114.168</v>
      </c>
      <c r="J24" s="359">
        <f t="shared" si="2"/>
        <v>214.34850000000003</v>
      </c>
      <c r="K24" s="359">
        <f t="shared" si="3"/>
        <v>244.269</v>
      </c>
      <c r="L24" s="359">
        <f t="shared" si="4"/>
        <v>311.355</v>
      </c>
      <c r="M24" s="359">
        <f t="shared" si="5"/>
        <v>345.21</v>
      </c>
      <c r="N24" s="359">
        <f t="shared" si="6"/>
        <v>414.03</v>
      </c>
      <c r="O24" s="359">
        <f t="shared" si="7"/>
        <v>572.268</v>
      </c>
      <c r="P24" s="359">
        <f t="shared" si="8"/>
        <v>693.3960000000001</v>
      </c>
      <c r="Q24" s="359">
        <f t="shared" si="9"/>
        <v>790.422</v>
      </c>
      <c r="R24" s="359">
        <f t="shared" si="10"/>
        <v>944.3040000000001</v>
      </c>
    </row>
    <row r="25" spans="1:18" s="362" customFormat="1" ht="12">
      <c r="A25" s="359">
        <v>3000</v>
      </c>
      <c r="B25" s="360">
        <v>2.33</v>
      </c>
      <c r="C25" s="360">
        <v>2.74</v>
      </c>
      <c r="D25" s="360">
        <v>3.14</v>
      </c>
      <c r="E25" s="360">
        <v>3.55</v>
      </c>
      <c r="F25" s="360">
        <v>3.95</v>
      </c>
      <c r="G25" s="361">
        <f t="shared" si="11"/>
        <v>18</v>
      </c>
      <c r="H25" s="359">
        <f t="shared" si="0"/>
        <v>51.5862</v>
      </c>
      <c r="I25" s="359">
        <f t="shared" si="1"/>
        <v>132.1776</v>
      </c>
      <c r="J25" s="359">
        <f t="shared" si="2"/>
        <v>246.9924</v>
      </c>
      <c r="K25" s="359">
        <f t="shared" si="3"/>
        <v>281.4696</v>
      </c>
      <c r="L25" s="359">
        <f t="shared" si="4"/>
        <v>358.47900000000004</v>
      </c>
      <c r="M25" s="359">
        <f t="shared" si="5"/>
        <v>397.458</v>
      </c>
      <c r="N25" s="359">
        <f t="shared" si="6"/>
        <v>476.694</v>
      </c>
      <c r="O25" s="359">
        <f t="shared" si="7"/>
        <v>658.3860000000001</v>
      </c>
      <c r="P25" s="359">
        <f t="shared" si="8"/>
        <v>797.742</v>
      </c>
      <c r="Q25" s="359">
        <f t="shared" si="9"/>
        <v>909.3690000000001</v>
      </c>
      <c r="R25" s="359">
        <f t="shared" si="10"/>
        <v>1086.4080000000001</v>
      </c>
    </row>
    <row r="26" spans="1:18" s="362" customFormat="1" ht="12">
      <c r="A26" s="359">
        <v>3500</v>
      </c>
      <c r="B26" s="360">
        <v>2.25</v>
      </c>
      <c r="C26" s="360">
        <v>2.63</v>
      </c>
      <c r="D26" s="360">
        <v>3.01</v>
      </c>
      <c r="E26" s="360">
        <v>3.4</v>
      </c>
      <c r="F26" s="360">
        <v>3.77</v>
      </c>
      <c r="G26" s="361">
        <f t="shared" si="11"/>
        <v>19</v>
      </c>
      <c r="H26" s="359">
        <f t="shared" si="0"/>
        <v>58.1175</v>
      </c>
      <c r="I26" s="359">
        <f t="shared" si="1"/>
        <v>148.0164</v>
      </c>
      <c r="J26" s="359">
        <f t="shared" si="2"/>
        <v>276.2277</v>
      </c>
      <c r="K26" s="359">
        <f t="shared" si="3"/>
        <v>314.7858</v>
      </c>
      <c r="L26" s="359">
        <f t="shared" si="4"/>
        <v>400.55400000000003</v>
      </c>
      <c r="M26" s="359">
        <f t="shared" si="5"/>
        <v>444.108</v>
      </c>
      <c r="N26" s="359">
        <f t="shared" si="6"/>
        <v>532.644</v>
      </c>
      <c r="O26" s="359">
        <f t="shared" si="7"/>
        <v>733.1142</v>
      </c>
      <c r="P26" s="359">
        <f t="shared" si="8"/>
        <v>888.2874</v>
      </c>
      <c r="Q26" s="359">
        <f t="shared" si="9"/>
        <v>1012.5843000000001</v>
      </c>
      <c r="R26" s="359">
        <f t="shared" si="10"/>
        <v>1209.7176000000002</v>
      </c>
    </row>
    <row r="27" spans="1:18" s="362" customFormat="1" ht="12">
      <c r="A27" s="359">
        <v>4000</v>
      </c>
      <c r="B27" s="360">
        <v>2.16</v>
      </c>
      <c r="C27" s="360">
        <v>2.53</v>
      </c>
      <c r="D27" s="360">
        <v>2.88</v>
      </c>
      <c r="E27" s="360">
        <v>3.24</v>
      </c>
      <c r="F27" s="360">
        <v>3.6</v>
      </c>
      <c r="G27" s="361">
        <f t="shared" si="11"/>
        <v>20</v>
      </c>
      <c r="H27" s="359">
        <f t="shared" si="0"/>
        <v>63.7632</v>
      </c>
      <c r="I27" s="359">
        <f t="shared" si="1"/>
        <v>162.7296</v>
      </c>
      <c r="J27" s="359">
        <f t="shared" si="2"/>
        <v>302.05440000000004</v>
      </c>
      <c r="K27" s="359">
        <f t="shared" si="3"/>
        <v>344.2176</v>
      </c>
      <c r="L27" s="359">
        <f t="shared" si="4"/>
        <v>436.2336</v>
      </c>
      <c r="M27" s="359">
        <f t="shared" si="5"/>
        <v>483.66720000000004</v>
      </c>
      <c r="N27" s="359">
        <f t="shared" si="6"/>
        <v>580.0896</v>
      </c>
      <c r="O27" s="359">
        <f t="shared" si="7"/>
        <v>800.0640000000001</v>
      </c>
      <c r="P27" s="359">
        <f t="shared" si="8"/>
        <v>969.408</v>
      </c>
      <c r="Q27" s="359">
        <f t="shared" si="9"/>
        <v>1105.056</v>
      </c>
      <c r="R27" s="359">
        <f t="shared" si="10"/>
        <v>1320.192</v>
      </c>
    </row>
    <row r="28" spans="1:18" s="362" customFormat="1" ht="12">
      <c r="A28" s="359">
        <v>4500</v>
      </c>
      <c r="B28" s="360">
        <v>2.09</v>
      </c>
      <c r="C28" s="360">
        <v>2.42</v>
      </c>
      <c r="D28" s="360">
        <v>2.75</v>
      </c>
      <c r="E28" s="360">
        <v>3.09</v>
      </c>
      <c r="F28" s="360">
        <v>3.42</v>
      </c>
      <c r="G28" s="361">
        <f t="shared" si="11"/>
        <v>21</v>
      </c>
      <c r="H28" s="359">
        <f t="shared" si="0"/>
        <v>69.4089</v>
      </c>
      <c r="I28" s="359">
        <f t="shared" si="1"/>
        <v>175.1112</v>
      </c>
      <c r="J28" s="359">
        <f t="shared" si="2"/>
        <v>324.4725</v>
      </c>
      <c r="K28" s="359">
        <f t="shared" si="3"/>
        <v>369.765</v>
      </c>
      <c r="L28" s="359">
        <f t="shared" si="4"/>
        <v>468.0423</v>
      </c>
      <c r="M28" s="359">
        <f t="shared" si="5"/>
        <v>518.9346</v>
      </c>
      <c r="N28" s="359">
        <f t="shared" si="6"/>
        <v>622.3878</v>
      </c>
      <c r="O28" s="359">
        <f t="shared" si="7"/>
        <v>855.0684</v>
      </c>
      <c r="P28" s="359">
        <f t="shared" si="8"/>
        <v>1036.0548</v>
      </c>
      <c r="Q28" s="359">
        <f t="shared" si="9"/>
        <v>1181.0286</v>
      </c>
      <c r="R28" s="359">
        <f t="shared" si="10"/>
        <v>1410.9551999999999</v>
      </c>
    </row>
    <row r="29" spans="1:18" s="362" customFormat="1" ht="12">
      <c r="A29" s="359">
        <v>5000</v>
      </c>
      <c r="B29" s="360">
        <v>2</v>
      </c>
      <c r="C29" s="360">
        <v>2.31</v>
      </c>
      <c r="D29" s="360">
        <v>2.62</v>
      </c>
      <c r="E29" s="360">
        <v>2.93</v>
      </c>
      <c r="F29" s="360">
        <v>3.24</v>
      </c>
      <c r="G29" s="361">
        <f t="shared" si="11"/>
        <v>22</v>
      </c>
      <c r="H29" s="359">
        <f t="shared" si="0"/>
        <v>73.8</v>
      </c>
      <c r="I29" s="359">
        <f t="shared" si="1"/>
        <v>185.72400000000002</v>
      </c>
      <c r="J29" s="359">
        <f t="shared" si="2"/>
        <v>343.48199999999997</v>
      </c>
      <c r="K29" s="359">
        <f t="shared" si="3"/>
        <v>391.42800000000005</v>
      </c>
      <c r="L29" s="359">
        <f t="shared" si="4"/>
        <v>493.119</v>
      </c>
      <c r="M29" s="359">
        <f t="shared" si="5"/>
        <v>546.738</v>
      </c>
      <c r="N29" s="359">
        <f t="shared" si="6"/>
        <v>655.7339999999999</v>
      </c>
      <c r="O29" s="359">
        <f t="shared" si="7"/>
        <v>900.0720000000001</v>
      </c>
      <c r="P29" s="359">
        <f t="shared" si="8"/>
        <v>1090.5840000000003</v>
      </c>
      <c r="Q29" s="359">
        <f t="shared" si="9"/>
        <v>1243.1880000000003</v>
      </c>
      <c r="R29" s="359">
        <f t="shared" si="10"/>
        <v>1485.2160000000003</v>
      </c>
    </row>
    <row r="30" spans="1:18" s="362" customFormat="1" ht="12">
      <c r="A30" s="359">
        <v>6000</v>
      </c>
      <c r="B30" s="360">
        <v>1.92</v>
      </c>
      <c r="C30" s="360">
        <v>2.21</v>
      </c>
      <c r="D30" s="360">
        <v>2.5</v>
      </c>
      <c r="E30" s="360">
        <v>2.79</v>
      </c>
      <c r="F30" s="360">
        <v>3.08</v>
      </c>
      <c r="G30" s="361">
        <f t="shared" si="11"/>
        <v>23</v>
      </c>
      <c r="H30" s="359">
        <f t="shared" si="0"/>
        <v>85.0176</v>
      </c>
      <c r="I30" s="359">
        <f t="shared" si="1"/>
        <v>213.22080000000003</v>
      </c>
      <c r="J30" s="359">
        <f t="shared" si="2"/>
        <v>393.3</v>
      </c>
      <c r="K30" s="359">
        <f t="shared" si="3"/>
        <v>448.2</v>
      </c>
      <c r="L30" s="359">
        <f t="shared" si="4"/>
        <v>563.4684000000001</v>
      </c>
      <c r="M30" s="359">
        <f t="shared" si="5"/>
        <v>624.7368</v>
      </c>
      <c r="N30" s="359">
        <f t="shared" si="6"/>
        <v>749.2824</v>
      </c>
      <c r="O30" s="359">
        <f t="shared" si="7"/>
        <v>1026.7488</v>
      </c>
      <c r="P30" s="359">
        <f t="shared" si="8"/>
        <v>1244.0736</v>
      </c>
      <c r="Q30" s="359">
        <f t="shared" si="9"/>
        <v>1418.1552</v>
      </c>
      <c r="R30" s="359">
        <f t="shared" si="10"/>
        <v>1694.2464000000002</v>
      </c>
    </row>
    <row r="31" spans="1:18" s="362" customFormat="1" ht="12">
      <c r="A31" s="359">
        <v>7000</v>
      </c>
      <c r="B31" s="360">
        <v>1.84</v>
      </c>
      <c r="C31" s="360">
        <v>2.11</v>
      </c>
      <c r="D31" s="360">
        <v>2.38</v>
      </c>
      <c r="E31" s="363">
        <v>2.66</v>
      </c>
      <c r="F31" s="360">
        <v>2.92</v>
      </c>
      <c r="G31" s="361">
        <f t="shared" si="11"/>
        <v>24</v>
      </c>
      <c r="H31" s="359">
        <f t="shared" si="0"/>
        <v>95.0544</v>
      </c>
      <c r="I31" s="359">
        <f t="shared" si="1"/>
        <v>237.5016</v>
      </c>
      <c r="J31" s="359">
        <f t="shared" si="2"/>
        <v>436.82520000000005</v>
      </c>
      <c r="K31" s="359">
        <f t="shared" si="3"/>
        <v>497.80080000000004</v>
      </c>
      <c r="L31" s="359">
        <f t="shared" si="4"/>
        <v>626.7492</v>
      </c>
      <c r="M31" s="359">
        <f t="shared" si="5"/>
        <v>694.8983999999999</v>
      </c>
      <c r="N31" s="359">
        <f t="shared" si="6"/>
        <v>833.4312</v>
      </c>
      <c r="O31" s="359">
        <f t="shared" si="7"/>
        <v>1135.6464</v>
      </c>
      <c r="P31" s="359">
        <f t="shared" si="8"/>
        <v>1376.0208000000002</v>
      </c>
      <c r="Q31" s="359">
        <f t="shared" si="9"/>
        <v>1568.5656</v>
      </c>
      <c r="R31" s="359">
        <f t="shared" si="10"/>
        <v>1873.9392</v>
      </c>
    </row>
    <row r="32" spans="1:18" s="362" customFormat="1" ht="12">
      <c r="A32" s="359">
        <v>8000</v>
      </c>
      <c r="B32" s="360">
        <v>1.77</v>
      </c>
      <c r="C32" s="360">
        <v>2.03</v>
      </c>
      <c r="D32" s="360">
        <v>2.28</v>
      </c>
      <c r="E32" s="363">
        <v>2.54</v>
      </c>
      <c r="F32" s="360">
        <v>2.79</v>
      </c>
      <c r="G32" s="361">
        <f t="shared" si="11"/>
        <v>25</v>
      </c>
      <c r="H32" s="359">
        <f t="shared" si="0"/>
        <v>104.5008</v>
      </c>
      <c r="I32" s="359">
        <f t="shared" si="1"/>
        <v>261.13919999999996</v>
      </c>
      <c r="J32" s="359">
        <f t="shared" si="2"/>
        <v>478.2528</v>
      </c>
      <c r="K32" s="359">
        <f t="shared" si="3"/>
        <v>545.0112</v>
      </c>
      <c r="L32" s="359">
        <f t="shared" si="4"/>
        <v>683.9712</v>
      </c>
      <c r="M32" s="359">
        <f t="shared" si="5"/>
        <v>758.3424</v>
      </c>
      <c r="N32" s="359">
        <f t="shared" si="6"/>
        <v>909.5232000000001</v>
      </c>
      <c r="O32" s="359">
        <f t="shared" si="7"/>
        <v>1240.0991999999999</v>
      </c>
      <c r="P32" s="359">
        <f t="shared" si="8"/>
        <v>1502.5824</v>
      </c>
      <c r="Q32" s="359">
        <f t="shared" si="9"/>
        <v>1712.8368</v>
      </c>
      <c r="R32" s="359">
        <f t="shared" si="10"/>
        <v>2046.2976</v>
      </c>
    </row>
    <row r="33" spans="1:18" s="362" customFormat="1" ht="12">
      <c r="A33" s="359">
        <v>9000</v>
      </c>
      <c r="B33" s="360">
        <v>1.73</v>
      </c>
      <c r="C33" s="360">
        <v>1.97</v>
      </c>
      <c r="D33" s="360">
        <v>2.21</v>
      </c>
      <c r="E33" s="363">
        <v>2.46</v>
      </c>
      <c r="F33" s="360">
        <v>2.7</v>
      </c>
      <c r="G33" s="361">
        <f t="shared" si="11"/>
        <v>26</v>
      </c>
      <c r="H33" s="359">
        <f t="shared" si="0"/>
        <v>114.9066</v>
      </c>
      <c r="I33" s="359">
        <f t="shared" si="1"/>
        <v>285.0984</v>
      </c>
      <c r="J33" s="359">
        <f t="shared" si="2"/>
        <v>521.5158</v>
      </c>
      <c r="K33" s="359">
        <f t="shared" si="3"/>
        <v>594.3132</v>
      </c>
      <c r="L33" s="359">
        <f t="shared" si="4"/>
        <v>745.2324000000001</v>
      </c>
      <c r="M33" s="359">
        <f t="shared" si="5"/>
        <v>826.2647999999999</v>
      </c>
      <c r="N33" s="359">
        <f t="shared" si="6"/>
        <v>990.9864</v>
      </c>
      <c r="O33" s="359">
        <f t="shared" si="7"/>
        <v>1350.108</v>
      </c>
      <c r="P33" s="359">
        <f t="shared" si="8"/>
        <v>1635.876</v>
      </c>
      <c r="Q33" s="359">
        <f t="shared" si="9"/>
        <v>1864.7820000000002</v>
      </c>
      <c r="R33" s="359">
        <f t="shared" si="10"/>
        <v>2227.824</v>
      </c>
    </row>
    <row r="34" spans="1:18" s="362" customFormat="1" ht="12">
      <c r="A34" s="359">
        <v>10000</v>
      </c>
      <c r="B34" s="360">
        <v>1.69</v>
      </c>
      <c r="C34" s="360">
        <v>1.91</v>
      </c>
      <c r="D34" s="360">
        <v>2.15</v>
      </c>
      <c r="E34" s="363">
        <v>2.33</v>
      </c>
      <c r="F34" s="360">
        <v>2.61</v>
      </c>
      <c r="G34" s="361">
        <f t="shared" si="11"/>
        <v>27</v>
      </c>
      <c r="H34" s="359">
        <f t="shared" si="0"/>
        <v>124.72200000000001</v>
      </c>
      <c r="I34" s="359">
        <f t="shared" si="1"/>
        <v>307.128</v>
      </c>
      <c r="J34" s="359">
        <f t="shared" si="2"/>
        <v>563.73</v>
      </c>
      <c r="K34" s="359">
        <f t="shared" si="3"/>
        <v>642.42</v>
      </c>
      <c r="L34" s="359">
        <f t="shared" si="4"/>
        <v>784.278</v>
      </c>
      <c r="M34" s="359">
        <f t="shared" si="5"/>
        <v>869.556</v>
      </c>
      <c r="N34" s="359">
        <f t="shared" si="6"/>
        <v>1042.9080000000001</v>
      </c>
      <c r="O34" s="359">
        <f t="shared" si="7"/>
        <v>1450.116</v>
      </c>
      <c r="P34" s="359">
        <f t="shared" si="8"/>
        <v>1757.0520000000001</v>
      </c>
      <c r="Q34" s="359">
        <f t="shared" si="9"/>
        <v>2002.914</v>
      </c>
      <c r="R34" s="359">
        <f t="shared" si="10"/>
        <v>2392.848</v>
      </c>
    </row>
    <row r="35" spans="1:18" s="362" customFormat="1" ht="12">
      <c r="A35" s="359">
        <v>12500</v>
      </c>
      <c r="B35" s="360">
        <v>1.57</v>
      </c>
      <c r="C35" s="360">
        <v>1.79</v>
      </c>
      <c r="D35" s="360">
        <v>2</v>
      </c>
      <c r="E35" s="363">
        <v>2.21</v>
      </c>
      <c r="F35" s="360">
        <v>2.42</v>
      </c>
      <c r="G35" s="361">
        <f t="shared" si="11"/>
        <v>28</v>
      </c>
      <c r="H35" s="359">
        <f t="shared" si="0"/>
        <v>144.8325</v>
      </c>
      <c r="I35" s="359">
        <f t="shared" si="1"/>
        <v>359.79</v>
      </c>
      <c r="J35" s="359">
        <f t="shared" si="2"/>
        <v>655.5</v>
      </c>
      <c r="K35" s="359">
        <f t="shared" si="3"/>
        <v>747</v>
      </c>
      <c r="L35" s="359">
        <f t="shared" si="4"/>
        <v>929.8575</v>
      </c>
      <c r="M35" s="359">
        <f t="shared" si="5"/>
        <v>1030.965</v>
      </c>
      <c r="N35" s="359">
        <f t="shared" si="6"/>
        <v>1236.495</v>
      </c>
      <c r="O35" s="359">
        <f t="shared" si="7"/>
        <v>1680.69</v>
      </c>
      <c r="P35" s="359">
        <f t="shared" si="8"/>
        <v>2036.43</v>
      </c>
      <c r="Q35" s="359">
        <f t="shared" si="9"/>
        <v>2321.385</v>
      </c>
      <c r="R35" s="359">
        <f t="shared" si="10"/>
        <v>2773.32</v>
      </c>
    </row>
    <row r="36" spans="1:18" s="362" customFormat="1" ht="12">
      <c r="A36" s="359">
        <v>15000</v>
      </c>
      <c r="B36" s="360">
        <v>1.49</v>
      </c>
      <c r="C36" s="360">
        <v>1.68</v>
      </c>
      <c r="D36" s="360">
        <v>1.87</v>
      </c>
      <c r="E36" s="360">
        <v>2.07</v>
      </c>
      <c r="F36" s="360">
        <v>2.27</v>
      </c>
      <c r="G36" s="361">
        <f t="shared" si="11"/>
        <v>29</v>
      </c>
      <c r="H36" s="359">
        <f t="shared" si="0"/>
        <v>164.94299999999998</v>
      </c>
      <c r="I36" s="359">
        <f t="shared" si="1"/>
        <v>405.216</v>
      </c>
      <c r="J36" s="359">
        <f t="shared" si="2"/>
        <v>735.471</v>
      </c>
      <c r="K36" s="359">
        <f t="shared" si="3"/>
        <v>838.1340000000001</v>
      </c>
      <c r="L36" s="359">
        <f t="shared" si="4"/>
        <v>1045.1429999999998</v>
      </c>
      <c r="M36" s="359">
        <f t="shared" si="5"/>
        <v>1158.7859999999998</v>
      </c>
      <c r="N36" s="359">
        <f t="shared" si="6"/>
        <v>1389.7979999999998</v>
      </c>
      <c r="O36" s="359">
        <f t="shared" si="7"/>
        <v>1891.8180000000002</v>
      </c>
      <c r="P36" s="359">
        <f t="shared" si="8"/>
        <v>2292.246</v>
      </c>
      <c r="Q36" s="359">
        <f t="shared" si="9"/>
        <v>2612.9970000000003</v>
      </c>
      <c r="R36" s="359">
        <f t="shared" si="10"/>
        <v>3121.704</v>
      </c>
    </row>
    <row r="37" spans="1:18" s="362" customFormat="1" ht="12">
      <c r="A37" s="359">
        <v>17500</v>
      </c>
      <c r="B37" s="360">
        <v>1.41</v>
      </c>
      <c r="C37" s="360">
        <v>1.58</v>
      </c>
      <c r="D37" s="360">
        <v>1.76</v>
      </c>
      <c r="E37" s="360">
        <v>1.94</v>
      </c>
      <c r="F37" s="360">
        <v>2.12</v>
      </c>
      <c r="G37" s="361">
        <f t="shared" si="11"/>
        <v>30</v>
      </c>
      <c r="H37" s="359">
        <f t="shared" si="0"/>
        <v>182.10150000000002</v>
      </c>
      <c r="I37" s="359">
        <f t="shared" si="1"/>
        <v>444.612</v>
      </c>
      <c r="J37" s="359">
        <f t="shared" si="2"/>
        <v>807.576</v>
      </c>
      <c r="K37" s="359">
        <f t="shared" si="3"/>
        <v>920.3040000000001</v>
      </c>
      <c r="L37" s="359">
        <f t="shared" si="4"/>
        <v>1142.757</v>
      </c>
      <c r="M37" s="359">
        <f t="shared" si="5"/>
        <v>1267.0140000000001</v>
      </c>
      <c r="N37" s="359">
        <f t="shared" si="6"/>
        <v>1519.602</v>
      </c>
      <c r="O37" s="359">
        <f t="shared" si="7"/>
        <v>2061.276</v>
      </c>
      <c r="P37" s="359">
        <f t="shared" si="8"/>
        <v>2497.572</v>
      </c>
      <c r="Q37" s="359">
        <f t="shared" si="9"/>
        <v>2847.054</v>
      </c>
      <c r="R37" s="359">
        <f t="shared" si="10"/>
        <v>3401.328</v>
      </c>
    </row>
    <row r="38" spans="1:18" s="362" customFormat="1" ht="12">
      <c r="A38" s="359">
        <v>20000</v>
      </c>
      <c r="B38" s="360">
        <v>1.34</v>
      </c>
      <c r="C38" s="360">
        <v>1.51</v>
      </c>
      <c r="D38" s="360">
        <v>1.67</v>
      </c>
      <c r="E38" s="360">
        <v>1.84</v>
      </c>
      <c r="F38" s="360">
        <v>2</v>
      </c>
      <c r="G38" s="361">
        <f t="shared" si="11"/>
        <v>31</v>
      </c>
      <c r="H38" s="359">
        <f t="shared" si="0"/>
        <v>197.78400000000002</v>
      </c>
      <c r="I38" s="359">
        <f t="shared" si="1"/>
        <v>485.616</v>
      </c>
      <c r="J38" s="359">
        <f t="shared" si="2"/>
        <v>875.748</v>
      </c>
      <c r="K38" s="359">
        <f t="shared" si="3"/>
        <v>997.992</v>
      </c>
      <c r="L38" s="359">
        <f t="shared" si="4"/>
        <v>1238.688</v>
      </c>
      <c r="M38" s="359">
        <f t="shared" si="5"/>
        <v>1373.376</v>
      </c>
      <c r="N38" s="359">
        <f t="shared" si="6"/>
        <v>1647.1680000000001</v>
      </c>
      <c r="O38" s="359">
        <f t="shared" si="7"/>
        <v>2222.4</v>
      </c>
      <c r="P38" s="359">
        <f t="shared" si="8"/>
        <v>2692.8</v>
      </c>
      <c r="Q38" s="359">
        <f t="shared" si="9"/>
        <v>3069.6</v>
      </c>
      <c r="R38" s="359">
        <f t="shared" si="10"/>
        <v>3667.2</v>
      </c>
    </row>
    <row r="39" spans="1:18" s="362" customFormat="1" ht="12">
      <c r="A39" s="359">
        <v>22500</v>
      </c>
      <c r="B39" s="360">
        <v>1.28</v>
      </c>
      <c r="C39" s="360">
        <v>1.43</v>
      </c>
      <c r="D39" s="360">
        <v>1.57</v>
      </c>
      <c r="E39" s="360">
        <v>1.73</v>
      </c>
      <c r="F39" s="360">
        <v>1.88</v>
      </c>
      <c r="G39" s="361">
        <f t="shared" si="11"/>
        <v>32</v>
      </c>
      <c r="H39" s="359">
        <f t="shared" si="0"/>
        <v>212.544</v>
      </c>
      <c r="I39" s="359">
        <f t="shared" si="1"/>
        <v>517.374</v>
      </c>
      <c r="J39" s="359">
        <f t="shared" si="2"/>
        <v>926.2215000000001</v>
      </c>
      <c r="K39" s="359">
        <f t="shared" si="3"/>
        <v>1055.511</v>
      </c>
      <c r="L39" s="359">
        <f t="shared" si="4"/>
        <v>1310.2155</v>
      </c>
      <c r="M39" s="359">
        <f t="shared" si="5"/>
        <v>1452.681</v>
      </c>
      <c r="N39" s="359">
        <f t="shared" si="6"/>
        <v>1742.2830000000001</v>
      </c>
      <c r="O39" s="359">
        <f t="shared" si="7"/>
        <v>2350.188</v>
      </c>
      <c r="P39" s="359">
        <f t="shared" si="8"/>
        <v>2847.6360000000004</v>
      </c>
      <c r="Q39" s="359">
        <f t="shared" si="9"/>
        <v>3246.1020000000003</v>
      </c>
      <c r="R39" s="359">
        <f t="shared" si="10"/>
        <v>3878.0640000000003</v>
      </c>
    </row>
    <row r="40" spans="1:18" s="362" customFormat="1" ht="12">
      <c r="A40" s="359">
        <v>25000</v>
      </c>
      <c r="B40" s="360">
        <v>1.22</v>
      </c>
      <c r="C40" s="360">
        <v>1.35</v>
      </c>
      <c r="D40" s="360">
        <v>1.5</v>
      </c>
      <c r="E40" s="360">
        <v>1.64</v>
      </c>
      <c r="F40" s="360">
        <v>1.79</v>
      </c>
      <c r="G40" s="361">
        <f t="shared" si="11"/>
        <v>33</v>
      </c>
      <c r="H40" s="359">
        <f t="shared" si="0"/>
        <v>225.09</v>
      </c>
      <c r="I40" s="359">
        <f t="shared" si="1"/>
        <v>542.7</v>
      </c>
      <c r="J40" s="359">
        <f t="shared" si="2"/>
        <v>983.25</v>
      </c>
      <c r="K40" s="359">
        <f t="shared" si="3"/>
        <v>1120.5</v>
      </c>
      <c r="L40" s="359">
        <f t="shared" si="4"/>
        <v>1380.06</v>
      </c>
      <c r="M40" s="359">
        <f t="shared" si="5"/>
        <v>1530.12</v>
      </c>
      <c r="N40" s="359">
        <f t="shared" si="6"/>
        <v>1835.16</v>
      </c>
      <c r="O40" s="359">
        <f t="shared" si="7"/>
        <v>2486.31</v>
      </c>
      <c r="P40" s="359">
        <f t="shared" si="8"/>
        <v>3012.57</v>
      </c>
      <c r="Q40" s="359">
        <f t="shared" si="9"/>
        <v>3434.115</v>
      </c>
      <c r="R40" s="359">
        <f t="shared" si="10"/>
        <v>4102.68</v>
      </c>
    </row>
    <row r="41" spans="1:18" s="362" customFormat="1" ht="12">
      <c r="A41" s="359">
        <v>27500</v>
      </c>
      <c r="B41" s="360">
        <v>1.16</v>
      </c>
      <c r="C41" s="360">
        <v>1.29</v>
      </c>
      <c r="D41" s="360">
        <v>1.42</v>
      </c>
      <c r="E41" s="360">
        <v>1.55</v>
      </c>
      <c r="F41" s="360">
        <v>1.68</v>
      </c>
      <c r="G41" s="361">
        <f t="shared" si="11"/>
        <v>34</v>
      </c>
      <c r="H41" s="359">
        <f aca="true" t="shared" si="12" ref="H41:H57">$A41*$B41*H$6*$C$60*$J$61*$J$62*$J$63/100</f>
        <v>235.42199999999997</v>
      </c>
      <c r="I41" s="359">
        <f aca="true" t="shared" si="13" ref="I41:I57">$A41*$C41*$I$6*$C$60*$J$61*$J$62*$J$63/100</f>
        <v>570.438</v>
      </c>
      <c r="J41" s="359">
        <f aca="true" t="shared" si="14" ref="J41:J57">$A41*$D41*$J$6*$C$60*$J$61*$J$62*$J$63/100</f>
        <v>1023.8910000000001</v>
      </c>
      <c r="K41" s="359">
        <f aca="true" t="shared" si="15" ref="K41:K57">$A41*$D41*$K$6*$C$60*$J$61*$J$62*$J$63/100</f>
        <v>1166.814</v>
      </c>
      <c r="L41" s="359">
        <f aca="true" t="shared" si="16" ref="L41:L57">$A41*$E41*$L$6*$C$60*$J$61*$J$62*$J$63/100</f>
        <v>1434.7575</v>
      </c>
      <c r="M41" s="359">
        <f aca="true" t="shared" si="17" ref="M41:M57">$A41*$E41*$M$6*$C$60*$J$61*$J$62*$J$63/100</f>
        <v>1590.765</v>
      </c>
      <c r="N41" s="359">
        <f aca="true" t="shared" si="18" ref="N41:N57">$A41*$E41*$N$6*$C$60*$J$61*$J$62*$J$63/100</f>
        <v>1907.895</v>
      </c>
      <c r="O41" s="359">
        <f aca="true" t="shared" si="19" ref="O41:O57">$A41*$F41*$O$6*$C$60*$J$61*$J$62*$J$63/100</f>
        <v>2566.8720000000003</v>
      </c>
      <c r="P41" s="359">
        <f aca="true" t="shared" si="20" ref="P41:P57">$A41*$F41*$P$6*$C$60*$J$61*$J$62*$J$63/100</f>
        <v>3110.184</v>
      </c>
      <c r="Q41" s="359">
        <f aca="true" t="shared" si="21" ref="Q41:Q57">$A41*$F41*$Q$6*$C$60*$J$61*$J$62*$J$63/100</f>
        <v>3545.388</v>
      </c>
      <c r="R41" s="359">
        <f aca="true" t="shared" si="22" ref="R41:R57">$A41*$F41*$R$6*$C$60*$J$61*$J$62*$J$63/100</f>
        <v>4235.616</v>
      </c>
    </row>
    <row r="42" spans="1:18" s="362" customFormat="1" ht="12">
      <c r="A42" s="359">
        <v>30000</v>
      </c>
      <c r="B42" s="360">
        <v>1.1</v>
      </c>
      <c r="C42" s="360">
        <v>1.22</v>
      </c>
      <c r="D42" s="360">
        <v>1.35</v>
      </c>
      <c r="E42" s="360">
        <v>1.47</v>
      </c>
      <c r="F42" s="360">
        <v>1.61</v>
      </c>
      <c r="G42" s="361">
        <f t="shared" si="11"/>
        <v>35</v>
      </c>
      <c r="H42" s="359">
        <f t="shared" si="12"/>
        <v>243.54</v>
      </c>
      <c r="I42" s="359">
        <f t="shared" si="13"/>
        <v>588.528</v>
      </c>
      <c r="J42" s="359">
        <f t="shared" si="14"/>
        <v>1061.91</v>
      </c>
      <c r="K42" s="359">
        <f t="shared" si="15"/>
        <v>1210.14</v>
      </c>
      <c r="L42" s="359">
        <f t="shared" si="16"/>
        <v>1484.406</v>
      </c>
      <c r="M42" s="359">
        <f t="shared" si="17"/>
        <v>1645.8120000000001</v>
      </c>
      <c r="N42" s="359">
        <f t="shared" si="18"/>
        <v>1973.9160000000002</v>
      </c>
      <c r="O42" s="359">
        <f t="shared" si="19"/>
        <v>2683.548</v>
      </c>
      <c r="P42" s="359">
        <f t="shared" si="20"/>
        <v>3251.5560000000005</v>
      </c>
      <c r="Q42" s="359">
        <f t="shared" si="21"/>
        <v>3706.542</v>
      </c>
      <c r="R42" s="359">
        <f t="shared" si="22"/>
        <v>4428.144</v>
      </c>
    </row>
    <row r="43" spans="1:18" s="362" customFormat="1" ht="12">
      <c r="A43" s="359">
        <v>32500</v>
      </c>
      <c r="B43" s="360">
        <v>1.05</v>
      </c>
      <c r="C43" s="360">
        <v>1.18</v>
      </c>
      <c r="D43" s="360">
        <v>1.31</v>
      </c>
      <c r="E43" s="360">
        <v>1.44</v>
      </c>
      <c r="F43" s="360">
        <v>1.57</v>
      </c>
      <c r="G43" s="361">
        <f t="shared" si="11"/>
        <v>36</v>
      </c>
      <c r="H43" s="359">
        <f t="shared" si="12"/>
        <v>251.8425</v>
      </c>
      <c r="I43" s="359">
        <f t="shared" si="13"/>
        <v>616.668</v>
      </c>
      <c r="J43" s="359">
        <f t="shared" si="14"/>
        <v>1116.3165000000001</v>
      </c>
      <c r="K43" s="359">
        <f t="shared" si="15"/>
        <v>1272.141</v>
      </c>
      <c r="L43" s="359">
        <f t="shared" si="16"/>
        <v>1575.2880000000002</v>
      </c>
      <c r="M43" s="359">
        <f t="shared" si="17"/>
        <v>1746.576</v>
      </c>
      <c r="N43" s="359">
        <f t="shared" si="18"/>
        <v>2094.768</v>
      </c>
      <c r="O43" s="359">
        <f t="shared" si="19"/>
        <v>2834.949</v>
      </c>
      <c r="P43" s="359">
        <f t="shared" si="20"/>
        <v>3435.0029999999997</v>
      </c>
      <c r="Q43" s="359">
        <f t="shared" si="21"/>
        <v>3915.6585000000005</v>
      </c>
      <c r="R43" s="359">
        <f t="shared" si="22"/>
        <v>4677.972</v>
      </c>
    </row>
    <row r="44" spans="1:18" s="362" customFormat="1" ht="12">
      <c r="A44" s="359">
        <v>35000</v>
      </c>
      <c r="B44" s="360">
        <v>1.01</v>
      </c>
      <c r="C44" s="360">
        <v>1.14</v>
      </c>
      <c r="D44" s="360">
        <v>1.26</v>
      </c>
      <c r="E44" s="360">
        <v>1.39</v>
      </c>
      <c r="F44" s="360">
        <v>1.51</v>
      </c>
      <c r="G44" s="361">
        <f t="shared" si="11"/>
        <v>37</v>
      </c>
      <c r="H44" s="359">
        <f t="shared" si="12"/>
        <v>260.883</v>
      </c>
      <c r="I44" s="359">
        <f t="shared" si="13"/>
        <v>641.5920000000001</v>
      </c>
      <c r="J44" s="359">
        <f t="shared" si="14"/>
        <v>1156.302</v>
      </c>
      <c r="K44" s="359">
        <f t="shared" si="15"/>
        <v>1317.7079999999999</v>
      </c>
      <c r="L44" s="359">
        <f t="shared" si="16"/>
        <v>1637.559</v>
      </c>
      <c r="M44" s="359">
        <f t="shared" si="17"/>
        <v>1815.6180000000002</v>
      </c>
      <c r="N44" s="359">
        <f t="shared" si="18"/>
        <v>2177.574</v>
      </c>
      <c r="O44" s="359">
        <f t="shared" si="19"/>
        <v>2936.3460000000005</v>
      </c>
      <c r="P44" s="359">
        <f t="shared" si="20"/>
        <v>3557.862</v>
      </c>
      <c r="Q44" s="359">
        <f t="shared" si="21"/>
        <v>4055.7090000000003</v>
      </c>
      <c r="R44" s="359">
        <f t="shared" si="22"/>
        <v>4845.288</v>
      </c>
    </row>
    <row r="45" spans="1:18" s="362" customFormat="1" ht="12">
      <c r="A45" s="359">
        <v>37500</v>
      </c>
      <c r="B45" s="360">
        <v>0.98</v>
      </c>
      <c r="C45" s="360">
        <v>1.1</v>
      </c>
      <c r="D45" s="360">
        <v>1.22</v>
      </c>
      <c r="E45" s="360">
        <v>1.34</v>
      </c>
      <c r="F45" s="360">
        <v>1.46</v>
      </c>
      <c r="G45" s="361">
        <f t="shared" si="11"/>
        <v>38</v>
      </c>
      <c r="H45" s="359">
        <f t="shared" si="12"/>
        <v>271.215</v>
      </c>
      <c r="I45" s="359">
        <f t="shared" si="13"/>
        <v>663.3</v>
      </c>
      <c r="J45" s="359">
        <f t="shared" si="14"/>
        <v>1199.565</v>
      </c>
      <c r="K45" s="359">
        <f t="shared" si="15"/>
        <v>1367.01</v>
      </c>
      <c r="L45" s="359">
        <f t="shared" si="16"/>
        <v>1691.415</v>
      </c>
      <c r="M45" s="359">
        <f t="shared" si="17"/>
        <v>1875.33</v>
      </c>
      <c r="N45" s="359">
        <f t="shared" si="18"/>
        <v>2249.19</v>
      </c>
      <c r="O45" s="359">
        <f t="shared" si="19"/>
        <v>3041.91</v>
      </c>
      <c r="P45" s="359">
        <f t="shared" si="20"/>
        <v>3685.77</v>
      </c>
      <c r="Q45" s="359">
        <f t="shared" si="21"/>
        <v>4201.515</v>
      </c>
      <c r="R45" s="359">
        <f t="shared" si="22"/>
        <v>5019.48</v>
      </c>
    </row>
    <row r="46" spans="1:18" s="362" customFormat="1" ht="12">
      <c r="A46" s="359">
        <v>40000</v>
      </c>
      <c r="B46" s="360">
        <v>0.95</v>
      </c>
      <c r="C46" s="360">
        <v>1.07</v>
      </c>
      <c r="D46" s="360">
        <v>1.18</v>
      </c>
      <c r="E46" s="360">
        <v>1.3</v>
      </c>
      <c r="F46" s="360">
        <v>1.41</v>
      </c>
      <c r="G46" s="361">
        <f t="shared" si="11"/>
        <v>39</v>
      </c>
      <c r="H46" s="359">
        <f t="shared" si="12"/>
        <v>280.44</v>
      </c>
      <c r="I46" s="359">
        <f t="shared" si="13"/>
        <v>688.2239999999999</v>
      </c>
      <c r="J46" s="359">
        <f t="shared" si="14"/>
        <v>1237.584</v>
      </c>
      <c r="K46" s="359">
        <f t="shared" si="15"/>
        <v>1410.336</v>
      </c>
      <c r="L46" s="359">
        <f t="shared" si="16"/>
        <v>1750.32</v>
      </c>
      <c r="M46" s="359">
        <f t="shared" si="17"/>
        <v>1940.64</v>
      </c>
      <c r="N46" s="359">
        <f t="shared" si="18"/>
        <v>2327.52</v>
      </c>
      <c r="O46" s="359">
        <f t="shared" si="19"/>
        <v>3133.5840000000003</v>
      </c>
      <c r="P46" s="359">
        <f t="shared" si="20"/>
        <v>3796.848</v>
      </c>
      <c r="Q46" s="359">
        <f t="shared" si="21"/>
        <v>4328.136</v>
      </c>
      <c r="R46" s="359">
        <f t="shared" si="22"/>
        <v>5170.752</v>
      </c>
    </row>
    <row r="47" spans="1:18" s="362" customFormat="1" ht="12">
      <c r="A47" s="359">
        <v>42500</v>
      </c>
      <c r="B47" s="360">
        <v>0.92</v>
      </c>
      <c r="C47" s="360">
        <v>1.04</v>
      </c>
      <c r="D47" s="360">
        <v>1.15</v>
      </c>
      <c r="E47" s="360">
        <v>1.26</v>
      </c>
      <c r="F47" s="360">
        <v>1.37</v>
      </c>
      <c r="G47" s="361">
        <f t="shared" si="11"/>
        <v>40</v>
      </c>
      <c r="H47" s="359">
        <f t="shared" si="12"/>
        <v>288.558</v>
      </c>
      <c r="I47" s="359">
        <f t="shared" si="13"/>
        <v>710.7360000000001</v>
      </c>
      <c r="J47" s="359">
        <f t="shared" si="14"/>
        <v>1281.5024999999998</v>
      </c>
      <c r="K47" s="359">
        <f t="shared" si="15"/>
        <v>1460.3849999999998</v>
      </c>
      <c r="L47" s="359">
        <f t="shared" si="16"/>
        <v>1802.4930000000002</v>
      </c>
      <c r="M47" s="359">
        <f t="shared" si="17"/>
        <v>1998.486</v>
      </c>
      <c r="N47" s="359">
        <f t="shared" si="18"/>
        <v>2396.898</v>
      </c>
      <c r="O47" s="359">
        <f t="shared" si="19"/>
        <v>3234.981</v>
      </c>
      <c r="P47" s="359">
        <f t="shared" si="20"/>
        <v>3919.707000000001</v>
      </c>
      <c r="Q47" s="359">
        <f t="shared" si="21"/>
        <v>4468.186500000001</v>
      </c>
      <c r="R47" s="359">
        <f t="shared" si="22"/>
        <v>5338.068</v>
      </c>
    </row>
    <row r="48" spans="1:18" s="362" customFormat="1" ht="12">
      <c r="A48" s="359">
        <v>45000</v>
      </c>
      <c r="B48" s="360">
        <v>0.89</v>
      </c>
      <c r="C48" s="360">
        <v>1.01</v>
      </c>
      <c r="D48" s="360">
        <v>1.11</v>
      </c>
      <c r="E48" s="360">
        <v>1.23</v>
      </c>
      <c r="F48" s="360">
        <v>1.33</v>
      </c>
      <c r="G48" s="361">
        <f t="shared" si="11"/>
        <v>41</v>
      </c>
      <c r="H48" s="359">
        <f t="shared" si="12"/>
        <v>295.569</v>
      </c>
      <c r="I48" s="359">
        <f t="shared" si="13"/>
        <v>730.836</v>
      </c>
      <c r="J48" s="359">
        <f t="shared" si="14"/>
        <v>1309.6890000000003</v>
      </c>
      <c r="K48" s="359">
        <f t="shared" si="15"/>
        <v>1492.5060000000003</v>
      </c>
      <c r="L48" s="359">
        <f t="shared" si="16"/>
        <v>1863.0810000000001</v>
      </c>
      <c r="M48" s="359">
        <f t="shared" si="17"/>
        <v>2065.6620000000003</v>
      </c>
      <c r="N48" s="359">
        <f t="shared" si="18"/>
        <v>2477.466</v>
      </c>
      <c r="O48" s="359">
        <f t="shared" si="19"/>
        <v>3325.2660000000005</v>
      </c>
      <c r="P48" s="359">
        <f t="shared" si="20"/>
        <v>4029.1020000000003</v>
      </c>
      <c r="Q48" s="359">
        <f t="shared" si="21"/>
        <v>4592.889</v>
      </c>
      <c r="R48" s="359">
        <f t="shared" si="22"/>
        <v>5487.048000000001</v>
      </c>
    </row>
    <row r="49" spans="1:18" s="362" customFormat="1" ht="12">
      <c r="A49" s="359">
        <v>47500</v>
      </c>
      <c r="B49" s="360">
        <v>0.87</v>
      </c>
      <c r="C49" s="360">
        <v>0.98</v>
      </c>
      <c r="D49" s="360">
        <v>1.08</v>
      </c>
      <c r="E49" s="360">
        <v>1.19</v>
      </c>
      <c r="F49" s="360">
        <v>1.3</v>
      </c>
      <c r="G49" s="361">
        <f t="shared" si="11"/>
        <v>42</v>
      </c>
      <c r="H49" s="359">
        <f t="shared" si="12"/>
        <v>304.9785</v>
      </c>
      <c r="I49" s="359">
        <f t="shared" si="13"/>
        <v>748.5240000000001</v>
      </c>
      <c r="J49" s="359">
        <f t="shared" si="14"/>
        <v>1345.086</v>
      </c>
      <c r="K49" s="359">
        <f t="shared" si="15"/>
        <v>1532.844</v>
      </c>
      <c r="L49" s="359">
        <f t="shared" si="16"/>
        <v>1902.6315</v>
      </c>
      <c r="M49" s="359">
        <f t="shared" si="17"/>
        <v>2109.5130000000004</v>
      </c>
      <c r="N49" s="359">
        <f t="shared" si="18"/>
        <v>2530.0589999999997</v>
      </c>
      <c r="O49" s="359">
        <f t="shared" si="19"/>
        <v>3430.83</v>
      </c>
      <c r="P49" s="359">
        <f t="shared" si="20"/>
        <v>4157.01</v>
      </c>
      <c r="Q49" s="359">
        <f t="shared" si="21"/>
        <v>4738.695</v>
      </c>
      <c r="R49" s="359">
        <f t="shared" si="22"/>
        <v>5661.24</v>
      </c>
    </row>
    <row r="50" spans="1:18" s="362" customFormat="1" ht="12">
      <c r="A50" s="359">
        <v>50000</v>
      </c>
      <c r="B50" s="360">
        <v>0.85</v>
      </c>
      <c r="C50" s="360">
        <v>0.96</v>
      </c>
      <c r="D50" s="360">
        <v>1.05</v>
      </c>
      <c r="E50" s="360">
        <v>1.16</v>
      </c>
      <c r="F50" s="360">
        <v>1.26</v>
      </c>
      <c r="G50" s="361">
        <f t="shared" si="11"/>
        <v>43</v>
      </c>
      <c r="H50" s="359">
        <f t="shared" si="12"/>
        <v>313.65</v>
      </c>
      <c r="I50" s="359">
        <f t="shared" si="13"/>
        <v>771.84</v>
      </c>
      <c r="J50" s="359">
        <f t="shared" si="14"/>
        <v>1376.55</v>
      </c>
      <c r="K50" s="359">
        <f t="shared" si="15"/>
        <v>1568.7</v>
      </c>
      <c r="L50" s="359">
        <f t="shared" si="16"/>
        <v>1952.2799999999997</v>
      </c>
      <c r="M50" s="359">
        <f t="shared" si="17"/>
        <v>2164.5599999999995</v>
      </c>
      <c r="N50" s="359">
        <f t="shared" si="18"/>
        <v>2596.08</v>
      </c>
      <c r="O50" s="359">
        <f t="shared" si="19"/>
        <v>3500.28</v>
      </c>
      <c r="P50" s="359">
        <f t="shared" si="20"/>
        <v>4241.16</v>
      </c>
      <c r="Q50" s="359">
        <f t="shared" si="21"/>
        <v>4834.62</v>
      </c>
      <c r="R50" s="359">
        <f t="shared" si="22"/>
        <v>5775.84</v>
      </c>
    </row>
    <row r="51" spans="1:18" s="362" customFormat="1" ht="12">
      <c r="A51" s="359">
        <v>55000</v>
      </c>
      <c r="B51" s="360">
        <v>0.81</v>
      </c>
      <c r="C51" s="360">
        <v>0.91</v>
      </c>
      <c r="D51" s="360">
        <v>1</v>
      </c>
      <c r="E51" s="360">
        <v>1.11</v>
      </c>
      <c r="F51" s="360">
        <v>1.2</v>
      </c>
      <c r="G51" s="361">
        <f t="shared" si="11"/>
        <v>44</v>
      </c>
      <c r="H51" s="359">
        <f t="shared" si="12"/>
        <v>328.779</v>
      </c>
      <c r="I51" s="359">
        <f t="shared" si="13"/>
        <v>804.8040000000001</v>
      </c>
      <c r="J51" s="359">
        <f t="shared" si="14"/>
        <v>1442.1</v>
      </c>
      <c r="K51" s="359">
        <f t="shared" si="15"/>
        <v>1643.4</v>
      </c>
      <c r="L51" s="359">
        <f t="shared" si="16"/>
        <v>2054.9430000000007</v>
      </c>
      <c r="M51" s="359">
        <f t="shared" si="17"/>
        <v>2278.3860000000004</v>
      </c>
      <c r="N51" s="359">
        <f t="shared" si="18"/>
        <v>2732.5980000000004</v>
      </c>
      <c r="O51" s="359">
        <f t="shared" si="19"/>
        <v>3666.96</v>
      </c>
      <c r="P51" s="359">
        <f t="shared" si="20"/>
        <v>4443.12</v>
      </c>
      <c r="Q51" s="359">
        <f t="shared" si="21"/>
        <v>5064.84</v>
      </c>
      <c r="R51" s="359">
        <f t="shared" si="22"/>
        <v>6050.88</v>
      </c>
    </row>
    <row r="52" spans="1:18" s="362" customFormat="1" ht="12">
      <c r="A52" s="359">
        <v>60000</v>
      </c>
      <c r="B52" s="360">
        <v>0.77</v>
      </c>
      <c r="C52" s="360">
        <v>0.87</v>
      </c>
      <c r="D52" s="360">
        <v>0.96</v>
      </c>
      <c r="E52" s="360">
        <v>1.05</v>
      </c>
      <c r="F52" s="360">
        <v>1.15</v>
      </c>
      <c r="G52" s="361">
        <f t="shared" si="11"/>
        <v>45</v>
      </c>
      <c r="H52" s="359">
        <f t="shared" si="12"/>
        <v>340.95599999999996</v>
      </c>
      <c r="I52" s="359">
        <f t="shared" si="13"/>
        <v>839.3760000000001</v>
      </c>
      <c r="J52" s="359">
        <f t="shared" si="14"/>
        <v>1510.2720000000002</v>
      </c>
      <c r="K52" s="359">
        <f t="shared" si="15"/>
        <v>1721.0880000000002</v>
      </c>
      <c r="L52" s="359">
        <f t="shared" si="16"/>
        <v>2120.58</v>
      </c>
      <c r="M52" s="359">
        <f t="shared" si="17"/>
        <v>2351.16</v>
      </c>
      <c r="N52" s="359">
        <f t="shared" si="18"/>
        <v>2819.88</v>
      </c>
      <c r="O52" s="359">
        <f t="shared" si="19"/>
        <v>3833.64</v>
      </c>
      <c r="P52" s="359">
        <f t="shared" si="20"/>
        <v>4645.08</v>
      </c>
      <c r="Q52" s="359">
        <f t="shared" si="21"/>
        <v>5295.06</v>
      </c>
      <c r="R52" s="359">
        <f t="shared" si="22"/>
        <v>6325.92</v>
      </c>
    </row>
    <row r="53" spans="1:18" s="362" customFormat="1" ht="12">
      <c r="A53" s="359">
        <v>65000</v>
      </c>
      <c r="B53" s="360">
        <v>0.74</v>
      </c>
      <c r="C53" s="360">
        <v>0.84</v>
      </c>
      <c r="D53" s="360">
        <v>0.93</v>
      </c>
      <c r="E53" s="360">
        <v>1.02</v>
      </c>
      <c r="F53" s="360">
        <v>1.11</v>
      </c>
      <c r="G53" s="361">
        <f t="shared" si="11"/>
        <v>46</v>
      </c>
      <c r="H53" s="359">
        <f t="shared" si="12"/>
        <v>354.978</v>
      </c>
      <c r="I53" s="359">
        <f t="shared" si="13"/>
        <v>877.9680000000001</v>
      </c>
      <c r="J53" s="359">
        <f t="shared" si="14"/>
        <v>1584.999</v>
      </c>
      <c r="K53" s="359">
        <f t="shared" si="15"/>
        <v>1806.246</v>
      </c>
      <c r="L53" s="359">
        <f t="shared" si="16"/>
        <v>2231.6580000000004</v>
      </c>
      <c r="M53" s="359">
        <f t="shared" si="17"/>
        <v>2474.3160000000003</v>
      </c>
      <c r="N53" s="359">
        <f t="shared" si="18"/>
        <v>2967.5879999999997</v>
      </c>
      <c r="O53" s="359">
        <f t="shared" si="19"/>
        <v>4008.6540000000005</v>
      </c>
      <c r="P53" s="359">
        <f t="shared" si="20"/>
        <v>4857.138</v>
      </c>
      <c r="Q53" s="359">
        <f t="shared" si="21"/>
        <v>5536.791</v>
      </c>
      <c r="R53" s="359">
        <f t="shared" si="22"/>
        <v>6614.712</v>
      </c>
    </row>
    <row r="54" spans="1:18" s="362" customFormat="1" ht="12">
      <c r="A54" s="359">
        <v>70000</v>
      </c>
      <c r="B54" s="360">
        <v>0.72</v>
      </c>
      <c r="C54" s="360">
        <v>0.81</v>
      </c>
      <c r="D54" s="360">
        <v>0.89</v>
      </c>
      <c r="E54" s="360">
        <v>0.98</v>
      </c>
      <c r="F54" s="360">
        <v>1.07</v>
      </c>
      <c r="G54" s="361">
        <f t="shared" si="11"/>
        <v>47</v>
      </c>
      <c r="H54" s="359">
        <f t="shared" si="12"/>
        <v>371.95200000000006</v>
      </c>
      <c r="I54" s="359">
        <f t="shared" si="13"/>
        <v>911.7360000000001</v>
      </c>
      <c r="J54" s="359">
        <f t="shared" si="14"/>
        <v>1633.506</v>
      </c>
      <c r="K54" s="359">
        <f t="shared" si="15"/>
        <v>1861.524</v>
      </c>
      <c r="L54" s="359">
        <f t="shared" si="16"/>
        <v>2309.076</v>
      </c>
      <c r="M54" s="359">
        <f t="shared" si="17"/>
        <v>2560.152</v>
      </c>
      <c r="N54" s="359">
        <f t="shared" si="18"/>
        <v>3070.5360000000005</v>
      </c>
      <c r="O54" s="359">
        <f t="shared" si="19"/>
        <v>4161.444</v>
      </c>
      <c r="P54" s="359">
        <f t="shared" si="20"/>
        <v>5042.268</v>
      </c>
      <c r="Q54" s="359">
        <f t="shared" si="21"/>
        <v>5747.826</v>
      </c>
      <c r="R54" s="359">
        <f t="shared" si="22"/>
        <v>6866.832</v>
      </c>
    </row>
    <row r="55" spans="1:18" s="362" customFormat="1" ht="12">
      <c r="A55" s="359">
        <v>75000</v>
      </c>
      <c r="B55" s="360">
        <v>0.69</v>
      </c>
      <c r="C55" s="360">
        <v>0.78</v>
      </c>
      <c r="D55" s="360">
        <v>0.86</v>
      </c>
      <c r="E55" s="360">
        <v>0.95</v>
      </c>
      <c r="F55" s="360">
        <v>1.03</v>
      </c>
      <c r="G55" s="361">
        <f t="shared" si="11"/>
        <v>48</v>
      </c>
      <c r="H55" s="359">
        <f t="shared" si="12"/>
        <v>381.9149999999999</v>
      </c>
      <c r="I55" s="359">
        <f t="shared" si="13"/>
        <v>940.68</v>
      </c>
      <c r="J55" s="359">
        <f t="shared" si="14"/>
        <v>1691.19</v>
      </c>
      <c r="K55" s="359">
        <f t="shared" si="15"/>
        <v>1927.26</v>
      </c>
      <c r="L55" s="359">
        <f t="shared" si="16"/>
        <v>2398.275</v>
      </c>
      <c r="M55" s="359">
        <f t="shared" si="17"/>
        <v>2659.05</v>
      </c>
      <c r="N55" s="359">
        <f t="shared" si="18"/>
        <v>3189.15</v>
      </c>
      <c r="O55" s="359">
        <f t="shared" si="19"/>
        <v>4292.01</v>
      </c>
      <c r="P55" s="359">
        <f t="shared" si="20"/>
        <v>5200.47</v>
      </c>
      <c r="Q55" s="359">
        <f t="shared" si="21"/>
        <v>5928.165</v>
      </c>
      <c r="R55" s="359">
        <f t="shared" si="22"/>
        <v>7082.28</v>
      </c>
    </row>
    <row r="56" spans="1:18" s="362" customFormat="1" ht="12">
      <c r="A56" s="359">
        <v>80000</v>
      </c>
      <c r="B56" s="360">
        <v>0.67</v>
      </c>
      <c r="C56" s="360">
        <v>0.75</v>
      </c>
      <c r="D56" s="360">
        <v>0.83</v>
      </c>
      <c r="E56" s="360">
        <v>0.92</v>
      </c>
      <c r="F56" s="360">
        <v>1</v>
      </c>
      <c r="G56" s="361">
        <f t="shared" si="11"/>
        <v>49</v>
      </c>
      <c r="H56" s="359">
        <f t="shared" si="12"/>
        <v>395.56800000000004</v>
      </c>
      <c r="I56" s="359">
        <f t="shared" si="13"/>
        <v>964.8</v>
      </c>
      <c r="J56" s="359">
        <f t="shared" si="14"/>
        <v>1741.0080000000003</v>
      </c>
      <c r="K56" s="359">
        <f t="shared" si="15"/>
        <v>1984.0320000000002</v>
      </c>
      <c r="L56" s="359">
        <f t="shared" si="16"/>
        <v>2477.376</v>
      </c>
      <c r="M56" s="359">
        <f t="shared" si="17"/>
        <v>2746.752</v>
      </c>
      <c r="N56" s="359">
        <f t="shared" si="18"/>
        <v>3294.3360000000002</v>
      </c>
      <c r="O56" s="359">
        <f t="shared" si="19"/>
        <v>4444.8</v>
      </c>
      <c r="P56" s="359">
        <f t="shared" si="20"/>
        <v>5385.6</v>
      </c>
      <c r="Q56" s="359">
        <f t="shared" si="21"/>
        <v>6139.2</v>
      </c>
      <c r="R56" s="359">
        <f t="shared" si="22"/>
        <v>7334.4</v>
      </c>
    </row>
    <row r="57" spans="1:18" s="362" customFormat="1" ht="12" hidden="1">
      <c r="A57" s="364">
        <f>IF(HESAPLAR!$F$2&gt;=80000,100+HESAPLAR!$F$2,80000+100)</f>
        <v>80100</v>
      </c>
      <c r="B57" s="360">
        <v>0.67</v>
      </c>
      <c r="C57" s="360">
        <v>0.75</v>
      </c>
      <c r="D57" s="360">
        <v>0.83</v>
      </c>
      <c r="E57" s="360">
        <v>0.92</v>
      </c>
      <c r="F57" s="360">
        <v>1</v>
      </c>
      <c r="G57" s="361">
        <f t="shared" si="11"/>
        <v>50</v>
      </c>
      <c r="H57" s="359">
        <f t="shared" si="12"/>
        <v>396.06246</v>
      </c>
      <c r="I57" s="359">
        <f t="shared" si="13"/>
        <v>966.0060000000001</v>
      </c>
      <c r="J57" s="359">
        <f t="shared" si="14"/>
        <v>1743.18426</v>
      </c>
      <c r="K57" s="359">
        <f t="shared" si="15"/>
        <v>1986.51204</v>
      </c>
      <c r="L57" s="359">
        <f t="shared" si="16"/>
        <v>2480.4727199999998</v>
      </c>
      <c r="M57" s="359">
        <f t="shared" si="17"/>
        <v>2750.1854399999997</v>
      </c>
      <c r="N57" s="359">
        <f t="shared" si="18"/>
        <v>3298.45392</v>
      </c>
      <c r="O57" s="359">
        <f t="shared" si="19"/>
        <v>4450.356000000001</v>
      </c>
      <c r="P57" s="359">
        <f t="shared" si="20"/>
        <v>5392.331999999999</v>
      </c>
      <c r="Q57" s="359">
        <f t="shared" si="21"/>
        <v>6146.874</v>
      </c>
      <c r="R57" s="359">
        <f t="shared" si="22"/>
        <v>7343.568</v>
      </c>
    </row>
    <row r="58" spans="1:18" s="362" customFormat="1" ht="6" customHeight="1">
      <c r="A58" s="365"/>
      <c r="B58" s="366"/>
      <c r="C58" s="366"/>
      <c r="D58" s="366"/>
      <c r="E58" s="366"/>
      <c r="F58" s="366"/>
      <c r="G58" s="367"/>
      <c r="H58" s="365"/>
      <c r="I58" s="365"/>
      <c r="J58" s="365"/>
      <c r="K58" s="365"/>
      <c r="L58" s="365"/>
      <c r="M58" s="365"/>
      <c r="N58" s="365"/>
      <c r="O58" s="365"/>
      <c r="P58" s="368"/>
      <c r="Q58" s="368"/>
      <c r="R58" s="368"/>
    </row>
    <row r="59" spans="1:18" s="362" customFormat="1" ht="14.25" customHeight="1">
      <c r="A59" s="365"/>
      <c r="B59" s="366"/>
      <c r="C59" s="366"/>
      <c r="D59" s="366"/>
      <c r="E59" s="366"/>
      <c r="F59" s="366"/>
      <c r="G59" s="367"/>
      <c r="H59" s="365"/>
      <c r="I59" s="365"/>
      <c r="J59" s="365"/>
      <c r="K59" s="365"/>
      <c r="L59" s="365"/>
      <c r="M59" s="369" t="s">
        <v>68</v>
      </c>
      <c r="N59" s="368"/>
      <c r="O59" s="368"/>
      <c r="P59" s="370"/>
      <c r="Q59" s="370"/>
      <c r="R59" s="368"/>
    </row>
    <row r="60" spans="1:18" s="362" customFormat="1" ht="12">
      <c r="A60" s="371" t="s">
        <v>25</v>
      </c>
      <c r="B60" s="372"/>
      <c r="C60" s="373">
        <f>(J60*0.01)/0.25</f>
        <v>0.024</v>
      </c>
      <c r="D60" s="373"/>
      <c r="E60" s="373"/>
      <c r="F60" s="373"/>
      <c r="G60" s="373"/>
      <c r="H60" s="373"/>
      <c r="I60" s="373"/>
      <c r="J60" s="374">
        <f>VERİLER!$L$9</f>
        <v>0.6</v>
      </c>
      <c r="K60" s="365"/>
      <c r="L60" s="365"/>
      <c r="M60" s="371" t="s">
        <v>29</v>
      </c>
      <c r="N60" s="372"/>
      <c r="O60" s="372"/>
      <c r="P60" s="372"/>
      <c r="Q60" s="370">
        <v>1</v>
      </c>
      <c r="R60" s="370"/>
    </row>
    <row r="61" spans="1:18" s="362" customFormat="1" ht="12">
      <c r="A61" s="371" t="s">
        <v>26</v>
      </c>
      <c r="B61" s="372"/>
      <c r="C61" s="372"/>
      <c r="D61" s="368"/>
      <c r="E61" s="372"/>
      <c r="F61" s="372"/>
      <c r="G61" s="375"/>
      <c r="H61" s="368"/>
      <c r="I61" s="368"/>
      <c r="J61" s="372">
        <v>0.5</v>
      </c>
      <c r="K61" s="365"/>
      <c r="L61" s="365"/>
      <c r="M61" s="371" t="s">
        <v>39</v>
      </c>
      <c r="N61" s="372"/>
      <c r="O61" s="372"/>
      <c r="P61" s="372"/>
      <c r="Q61" s="370">
        <v>1</v>
      </c>
      <c r="R61" s="368"/>
    </row>
    <row r="62" spans="1:18" s="362" customFormat="1" ht="12">
      <c r="A62" s="371" t="s">
        <v>27</v>
      </c>
      <c r="B62" s="372"/>
      <c r="C62" s="372"/>
      <c r="D62" s="368"/>
      <c r="E62" s="372"/>
      <c r="F62" s="372"/>
      <c r="G62" s="375"/>
      <c r="H62" s="368"/>
      <c r="I62" s="368"/>
      <c r="J62" s="372">
        <v>1</v>
      </c>
      <c r="K62" s="365"/>
      <c r="L62" s="365"/>
      <c r="M62" s="371" t="s">
        <v>40</v>
      </c>
      <c r="N62" s="372"/>
      <c r="O62" s="372"/>
      <c r="P62" s="372"/>
      <c r="Q62" s="370">
        <v>1</v>
      </c>
      <c r="R62" s="370"/>
    </row>
    <row r="63" spans="1:18" s="362" customFormat="1" ht="12">
      <c r="A63" s="371" t="s">
        <v>28</v>
      </c>
      <c r="B63" s="372"/>
      <c r="C63" s="372"/>
      <c r="D63" s="368"/>
      <c r="E63" s="372"/>
      <c r="F63" s="372"/>
      <c r="G63" s="375"/>
      <c r="H63" s="368"/>
      <c r="I63" s="368"/>
      <c r="J63" s="372">
        <v>0.5</v>
      </c>
      <c r="K63" s="365"/>
      <c r="L63" s="365"/>
      <c r="M63" s="371" t="s">
        <v>41</v>
      </c>
      <c r="N63" s="372"/>
      <c r="O63" s="372"/>
      <c r="P63" s="372"/>
      <c r="Q63" s="370">
        <v>1</v>
      </c>
      <c r="R63" s="368"/>
    </row>
    <row r="64" spans="1:18" s="362" customFormat="1" ht="12.75" customHeight="1">
      <c r="A64" s="371"/>
      <c r="B64" s="372"/>
      <c r="C64" s="372"/>
      <c r="D64" s="368"/>
      <c r="E64" s="372"/>
      <c r="F64" s="372"/>
      <c r="G64" s="375"/>
      <c r="H64" s="368"/>
      <c r="I64" s="372"/>
      <c r="J64" s="365"/>
      <c r="K64" s="365"/>
      <c r="L64" s="365"/>
      <c r="M64" s="371" t="s">
        <v>42</v>
      </c>
      <c r="N64" s="368"/>
      <c r="O64" s="368"/>
      <c r="P64" s="368"/>
      <c r="Q64" s="370">
        <v>1</v>
      </c>
      <c r="R64" s="368" t="s">
        <v>78</v>
      </c>
    </row>
    <row r="65" spans="1:18" s="362" customFormat="1" ht="12">
      <c r="A65" s="369" t="s">
        <v>69</v>
      </c>
      <c r="B65" s="372"/>
      <c r="C65" s="372"/>
      <c r="D65" s="372"/>
      <c r="E65" s="372"/>
      <c r="F65" s="372"/>
      <c r="G65" s="375"/>
      <c r="H65" s="368"/>
      <c r="I65" s="368"/>
      <c r="J65" s="368"/>
      <c r="K65" s="368"/>
      <c r="L65" s="368"/>
      <c r="M65" s="371"/>
      <c r="N65" s="368"/>
      <c r="O65" s="368"/>
      <c r="P65" s="368"/>
      <c r="Q65" s="370"/>
      <c r="R65" s="368"/>
    </row>
    <row r="66" spans="1:20" s="362" customFormat="1" ht="12">
      <c r="A66" s="371" t="s">
        <v>29</v>
      </c>
      <c r="B66" s="372"/>
      <c r="C66" s="372"/>
      <c r="D66" s="372"/>
      <c r="E66" s="372"/>
      <c r="F66" s="372"/>
      <c r="G66" s="375"/>
      <c r="H66" s="368"/>
      <c r="I66" s="368"/>
      <c r="J66" s="368"/>
      <c r="K66" s="370">
        <v>1</v>
      </c>
      <c r="L66" s="370"/>
      <c r="M66" s="461" t="s">
        <v>66</v>
      </c>
      <c r="N66" s="461"/>
      <c r="O66" s="461"/>
      <c r="P66" s="462">
        <f>IF($Q$70=2,$Q$71,IF(Q70=3,Q72,IF(Q70=4,Q73,0)))</f>
        <v>17</v>
      </c>
      <c r="Q66" s="462"/>
      <c r="R66" s="368"/>
      <c r="S66" s="377"/>
      <c r="T66" s="378"/>
    </row>
    <row r="67" spans="1:20" s="362" customFormat="1" ht="13.5">
      <c r="A67" s="371" t="s">
        <v>39</v>
      </c>
      <c r="B67" s="372"/>
      <c r="C67" s="372"/>
      <c r="D67" s="372"/>
      <c r="E67" s="372"/>
      <c r="F67" s="372"/>
      <c r="G67" s="375"/>
      <c r="H67" s="368"/>
      <c r="I67" s="368"/>
      <c r="J67" s="368"/>
      <c r="K67" s="370">
        <v>0.5</v>
      </c>
      <c r="L67" s="370"/>
      <c r="M67" s="379"/>
      <c r="N67" s="379"/>
      <c r="O67" s="368"/>
      <c r="P67" s="368"/>
      <c r="Q67" s="368"/>
      <c r="R67" s="368"/>
      <c r="S67" s="377"/>
      <c r="T67" s="378"/>
    </row>
    <row r="68" spans="1:20" s="362" customFormat="1" ht="12">
      <c r="A68" s="371" t="s">
        <v>40</v>
      </c>
      <c r="B68" s="372"/>
      <c r="C68" s="372"/>
      <c r="D68" s="372"/>
      <c r="E68" s="372"/>
      <c r="F68" s="372"/>
      <c r="G68" s="375"/>
      <c r="H68" s="368"/>
      <c r="I68" s="368"/>
      <c r="J68" s="368"/>
      <c r="K68" s="370">
        <v>0.25</v>
      </c>
      <c r="L68" s="368"/>
      <c r="M68" s="461" t="s">
        <v>76</v>
      </c>
      <c r="N68" s="461"/>
      <c r="O68" s="461"/>
      <c r="P68" s="380">
        <f>VERİLER!$L$5</f>
        <v>150</v>
      </c>
      <c r="Q68" s="381" t="s">
        <v>77</v>
      </c>
      <c r="R68" s="368"/>
      <c r="S68" s="377"/>
      <c r="T68" s="378"/>
    </row>
    <row r="69" spans="1:20" s="362" customFormat="1" ht="12">
      <c r="A69" s="371" t="s">
        <v>31</v>
      </c>
      <c r="B69" s="372"/>
      <c r="C69" s="372"/>
      <c r="D69" s="372"/>
      <c r="E69" s="372"/>
      <c r="F69" s="372"/>
      <c r="G69" s="375"/>
      <c r="H69" s="368"/>
      <c r="I69" s="368"/>
      <c r="J69" s="368"/>
      <c r="K69" s="370">
        <v>0.15</v>
      </c>
      <c r="L69" s="368" t="s">
        <v>30</v>
      </c>
      <c r="M69" s="376"/>
      <c r="N69" s="376"/>
      <c r="O69" s="376"/>
      <c r="P69" s="380"/>
      <c r="Q69" s="381"/>
      <c r="R69" s="368"/>
      <c r="S69" s="377"/>
      <c r="T69" s="378"/>
    </row>
    <row r="70" spans="1:18" s="362" customFormat="1" ht="12">
      <c r="A70" s="371"/>
      <c r="B70" s="372"/>
      <c r="C70" s="372"/>
      <c r="D70" s="372"/>
      <c r="E70" s="372"/>
      <c r="F70" s="372"/>
      <c r="G70" s="375"/>
      <c r="H70" s="368"/>
      <c r="I70" s="372"/>
      <c r="J70" s="368"/>
      <c r="K70" s="368"/>
      <c r="L70" s="368"/>
      <c r="M70" s="382"/>
      <c r="N70" s="368"/>
      <c r="O70" s="368"/>
      <c r="P70" s="370"/>
      <c r="Q70" s="383">
        <f>'ANA SAYFA'!I103</f>
        <v>2</v>
      </c>
      <c r="R70" s="368"/>
    </row>
    <row r="71" spans="1:18" s="362" customFormat="1" ht="12">
      <c r="A71" s="371"/>
      <c r="B71" s="372"/>
      <c r="C71" s="372"/>
      <c r="D71" s="372"/>
      <c r="E71" s="372"/>
      <c r="F71" s="372"/>
      <c r="G71" s="375"/>
      <c r="H71" s="368"/>
      <c r="I71" s="372"/>
      <c r="J71" s="368"/>
      <c r="K71" s="368"/>
      <c r="L71" s="368"/>
      <c r="M71" s="384" t="s">
        <v>99</v>
      </c>
      <c r="N71" s="384"/>
      <c r="O71" s="384"/>
      <c r="P71" s="384"/>
      <c r="Q71" s="385">
        <f>VERİLER!$O$73</f>
        <v>17</v>
      </c>
      <c r="R71" s="368"/>
    </row>
    <row r="72" spans="1:18" s="362" customFormat="1" ht="12">
      <c r="A72" s="369" t="s">
        <v>70</v>
      </c>
      <c r="B72" s="372"/>
      <c r="C72" s="372"/>
      <c r="D72" s="372"/>
      <c r="E72" s="372"/>
      <c r="F72" s="372"/>
      <c r="G72" s="375"/>
      <c r="H72" s="368"/>
      <c r="I72" s="368"/>
      <c r="J72" s="368"/>
      <c r="K72" s="368"/>
      <c r="L72" s="368"/>
      <c r="M72" s="384" t="s">
        <v>100</v>
      </c>
      <c r="N72" s="384"/>
      <c r="O72" s="384"/>
      <c r="P72" s="384"/>
      <c r="Q72" s="385">
        <f>VERİLER!$O$74</f>
        <v>24</v>
      </c>
      <c r="R72" s="368"/>
    </row>
    <row r="73" spans="1:18" s="362" customFormat="1" ht="12">
      <c r="A73" s="371" t="s">
        <v>29</v>
      </c>
      <c r="B73" s="372"/>
      <c r="C73" s="372"/>
      <c r="D73" s="372"/>
      <c r="E73" s="372"/>
      <c r="F73" s="372"/>
      <c r="G73" s="375"/>
      <c r="H73" s="368"/>
      <c r="I73" s="368"/>
      <c r="J73" s="368"/>
      <c r="K73" s="370">
        <v>1</v>
      </c>
      <c r="L73" s="368"/>
      <c r="M73" s="384" t="s">
        <v>101</v>
      </c>
      <c r="N73" s="384"/>
      <c r="O73" s="384"/>
      <c r="P73" s="384"/>
      <c r="Q73" s="385">
        <f>VERİLER!$O$75</f>
        <v>24</v>
      </c>
      <c r="R73" s="368"/>
    </row>
    <row r="74" spans="1:18" s="362" customFormat="1" ht="13.5">
      <c r="A74" s="371" t="s">
        <v>39</v>
      </c>
      <c r="B74" s="372"/>
      <c r="C74" s="372"/>
      <c r="D74" s="372"/>
      <c r="E74" s="372"/>
      <c r="F74" s="372"/>
      <c r="G74" s="375"/>
      <c r="H74" s="368"/>
      <c r="I74" s="368"/>
      <c r="J74" s="368"/>
      <c r="K74" s="370">
        <v>0.5</v>
      </c>
      <c r="L74" s="368"/>
      <c r="M74" s="368"/>
      <c r="N74" s="368"/>
      <c r="O74" s="379"/>
      <c r="P74" s="379"/>
      <c r="Q74" s="379"/>
      <c r="R74" s="368"/>
    </row>
    <row r="75" spans="1:18" s="362" customFormat="1" ht="13.5">
      <c r="A75" s="371" t="s">
        <v>71</v>
      </c>
      <c r="B75" s="372"/>
      <c r="C75" s="372"/>
      <c r="D75" s="372"/>
      <c r="E75" s="372"/>
      <c r="F75" s="372"/>
      <c r="G75" s="375"/>
      <c r="H75" s="368"/>
      <c r="I75" s="368"/>
      <c r="J75" s="368"/>
      <c r="K75" s="370">
        <v>0.25</v>
      </c>
      <c r="L75" s="368" t="s">
        <v>30</v>
      </c>
      <c r="M75" s="368"/>
      <c r="N75" s="368"/>
      <c r="O75" s="448"/>
      <c r="P75" s="448"/>
      <c r="Q75" s="448"/>
      <c r="R75" s="368"/>
    </row>
    <row r="76" spans="1:18" s="362" customFormat="1" ht="9" customHeight="1">
      <c r="A76" s="371"/>
      <c r="B76" s="372"/>
      <c r="C76" s="372"/>
      <c r="D76" s="372"/>
      <c r="E76" s="372"/>
      <c r="F76" s="372"/>
      <c r="G76" s="375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</row>
    <row r="77" spans="1:18" s="362" customFormat="1" ht="12" hidden="1">
      <c r="A77" s="371"/>
      <c r="B77" s="372"/>
      <c r="C77" s="372"/>
      <c r="D77" s="372"/>
      <c r="E77" s="372"/>
      <c r="F77" s="372"/>
      <c r="G77" s="375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</row>
    <row r="78" spans="1:18" s="362" customFormat="1" ht="12" hidden="1">
      <c r="A78" s="371"/>
      <c r="B78" s="372"/>
      <c r="C78" s="372"/>
      <c r="D78" s="372"/>
      <c r="E78" s="372"/>
      <c r="F78" s="372"/>
      <c r="G78" s="375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</row>
    <row r="79" spans="1:18" s="362" customFormat="1" ht="12" hidden="1">
      <c r="A79" s="371"/>
      <c r="B79" s="372"/>
      <c r="C79" s="372"/>
      <c r="D79" s="372"/>
      <c r="E79" s="372"/>
      <c r="F79" s="372"/>
      <c r="G79" s="375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</row>
    <row r="80" spans="1:18" s="362" customFormat="1" ht="12" hidden="1">
      <c r="A80" s="371"/>
      <c r="B80" s="372"/>
      <c r="C80" s="372"/>
      <c r="D80" s="372"/>
      <c r="E80" s="372"/>
      <c r="F80" s="372"/>
      <c r="G80" s="375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</row>
    <row r="81" spans="1:18" s="362" customFormat="1" ht="13.5">
      <c r="A81" s="387" t="s">
        <v>87</v>
      </c>
      <c r="B81" s="372"/>
      <c r="C81" s="372"/>
      <c r="D81" s="372"/>
      <c r="E81" s="372"/>
      <c r="F81" s="372"/>
      <c r="G81" s="375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</row>
    <row r="82" spans="1:18" s="362" customFormat="1" ht="13.5">
      <c r="A82" s="387" t="s">
        <v>88</v>
      </c>
      <c r="B82" s="372"/>
      <c r="C82" s="372"/>
      <c r="D82" s="372"/>
      <c r="E82" s="372"/>
      <c r="F82" s="372"/>
      <c r="G82" s="375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</row>
    <row r="83" spans="1:18" s="362" customFormat="1" ht="13.5">
      <c r="A83" s="387" t="s">
        <v>63</v>
      </c>
      <c r="B83" s="372"/>
      <c r="C83" s="372"/>
      <c r="D83" s="372"/>
      <c r="E83" s="372"/>
      <c r="F83" s="372"/>
      <c r="G83" s="375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</row>
    <row r="84" spans="1:18" s="362" customFormat="1" ht="13.5">
      <c r="A84" s="387" t="s">
        <v>72</v>
      </c>
      <c r="B84" s="372"/>
      <c r="C84" s="372"/>
      <c r="D84" s="372"/>
      <c r="E84" s="372"/>
      <c r="F84" s="372"/>
      <c r="G84" s="375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</row>
    <row r="85" spans="1:18" s="362" customFormat="1" ht="13.5">
      <c r="A85" s="387" t="s">
        <v>73</v>
      </c>
      <c r="B85" s="372"/>
      <c r="C85" s="372"/>
      <c r="D85" s="372"/>
      <c r="E85" s="372"/>
      <c r="F85" s="372"/>
      <c r="G85" s="375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</row>
    <row r="86" spans="1:7" s="362" customFormat="1" ht="12">
      <c r="A86" s="386"/>
      <c r="B86" s="377"/>
      <c r="C86" s="377"/>
      <c r="D86" s="377"/>
      <c r="E86" s="377"/>
      <c r="F86" s="377"/>
      <c r="G86" s="378"/>
    </row>
  </sheetData>
  <sheetProtection password="DAE8" sheet="1"/>
  <mergeCells count="6">
    <mergeCell ref="M66:O66"/>
    <mergeCell ref="P66:Q66"/>
    <mergeCell ref="M68:O68"/>
    <mergeCell ref="A1:R1"/>
    <mergeCell ref="A2:R2"/>
    <mergeCell ref="A3:R3"/>
  </mergeCells>
  <printOptions/>
  <pageMargins left="0.6692913385826772" right="0.15748031496062992" top="0.39" bottom="0.35433070866141736" header="0.3937007874015748" footer="0.11811023622047245"/>
  <pageSetup horizontalDpi="600" verticalDpi="600" orientation="portrait" paperSize="9" scale="85" r:id="rId1"/>
  <headerFooter alignWithMargins="0">
    <oddFooter>&amp;CSayfa  &amp;P 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K12" sqref="K12"/>
    </sheetView>
  </sheetViews>
  <sheetFormatPr defaultColWidth="9.140625" defaultRowHeight="18" customHeight="1"/>
  <cols>
    <col min="1" max="1" width="8.421875" style="290" customWidth="1"/>
    <col min="2" max="2" width="7.140625" style="291" hidden="1" customWidth="1"/>
    <col min="3" max="3" width="9.140625" style="291" hidden="1" customWidth="1"/>
    <col min="4" max="4" width="7.421875" style="291" hidden="1" customWidth="1"/>
    <col min="5" max="5" width="4.8515625" style="291" hidden="1" customWidth="1"/>
    <col min="6" max="6" width="4.7109375" style="291" hidden="1" customWidth="1"/>
    <col min="7" max="7" width="11.8515625" style="292" hidden="1" customWidth="1"/>
    <col min="8" max="18" width="9.28125" style="287" customWidth="1"/>
    <col min="19" max="16384" width="9.140625" style="287" customWidth="1"/>
  </cols>
  <sheetData>
    <row r="1" spans="1:18" ht="12.75">
      <c r="A1" s="469" t="s">
        <v>171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</row>
    <row r="2" spans="1:18" ht="12.75">
      <c r="A2" s="471" t="str">
        <f>CONCATENATE(VERİLER!$R$24," TARİHLERİ ARASINDA UYGULANACAK TESİSAT MÜHENDİSLİĞİ PROJE HİZMETLERİ VE TEKNİK")</f>
        <v>01 Temmuz - 31 Aralık 2009  TARİHLERİ ARASINDA UYGULANACAK TESİSAT MÜHENDİSLİĞİ PROJE HİZMETLERİ VE TEKNİK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</row>
    <row r="3" spans="1:18" ht="12.75">
      <c r="A3" s="471" t="s">
        <v>170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1:18" ht="11.25" customHeight="1">
      <c r="A4" s="327"/>
      <c r="B4" s="301"/>
      <c r="C4" s="301"/>
      <c r="D4" s="301"/>
      <c r="E4" s="301"/>
      <c r="F4" s="301"/>
      <c r="G4" s="328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302" t="s">
        <v>13</v>
      </c>
      <c r="B5" s="303"/>
      <c r="C5" s="304"/>
      <c r="D5" s="304"/>
      <c r="E5" s="304"/>
      <c r="F5" s="304"/>
      <c r="G5" s="305"/>
      <c r="H5" s="306">
        <v>1</v>
      </c>
      <c r="I5" s="307">
        <v>2</v>
      </c>
      <c r="J5" s="308" t="s">
        <v>14</v>
      </c>
      <c r="K5" s="308" t="s">
        <v>15</v>
      </c>
      <c r="L5" s="308" t="s">
        <v>16</v>
      </c>
      <c r="M5" s="308" t="s">
        <v>17</v>
      </c>
      <c r="N5" s="308" t="s">
        <v>18</v>
      </c>
      <c r="O5" s="308" t="s">
        <v>19</v>
      </c>
      <c r="P5" s="308" t="s">
        <v>20</v>
      </c>
      <c r="Q5" s="308" t="s">
        <v>21</v>
      </c>
      <c r="R5" s="308" t="s">
        <v>22</v>
      </c>
    </row>
    <row r="6" spans="1:18" s="288" customFormat="1" ht="11.25">
      <c r="A6" s="309" t="s">
        <v>23</v>
      </c>
      <c r="B6" s="310"/>
      <c r="C6" s="311"/>
      <c r="D6" s="311"/>
      <c r="E6" s="311"/>
      <c r="F6" s="311"/>
      <c r="G6" s="312"/>
      <c r="H6" s="313">
        <f>VERİLER!$M$9</f>
        <v>123</v>
      </c>
      <c r="I6" s="313">
        <f>VERİLER!$N$9</f>
        <v>268</v>
      </c>
      <c r="J6" s="313">
        <f>VERİLER!$O$9</f>
        <v>437</v>
      </c>
      <c r="K6" s="313">
        <f>VERİLER!$P$9</f>
        <v>498</v>
      </c>
      <c r="L6" s="313">
        <f>VERİLER!$Q$9</f>
        <v>561</v>
      </c>
      <c r="M6" s="313">
        <f>VERİLER!$R$9</f>
        <v>622</v>
      </c>
      <c r="N6" s="313">
        <f>VERİLER!$S$9</f>
        <v>746</v>
      </c>
      <c r="O6" s="313">
        <f>VERİLER!$T$9</f>
        <v>926</v>
      </c>
      <c r="P6" s="313">
        <f>VERİLER!$U$9</f>
        <v>1122</v>
      </c>
      <c r="Q6" s="313">
        <f>VERİLER!$V$9</f>
        <v>1279</v>
      </c>
      <c r="R6" s="313">
        <f>VERİLER!$W$9</f>
        <v>1528</v>
      </c>
    </row>
    <row r="7" spans="1:18" ht="12.75">
      <c r="A7" s="314" t="s">
        <v>24</v>
      </c>
      <c r="B7" s="315">
        <v>1</v>
      </c>
      <c r="C7" s="315">
        <v>2</v>
      </c>
      <c r="D7" s="315">
        <v>3</v>
      </c>
      <c r="E7" s="315">
        <v>4</v>
      </c>
      <c r="F7" s="315">
        <v>5</v>
      </c>
      <c r="G7" s="315"/>
      <c r="H7" s="316" t="s">
        <v>86</v>
      </c>
      <c r="I7" s="316" t="s">
        <v>86</v>
      </c>
      <c r="J7" s="316" t="s">
        <v>86</v>
      </c>
      <c r="K7" s="316" t="s">
        <v>86</v>
      </c>
      <c r="L7" s="316" t="s">
        <v>86</v>
      </c>
      <c r="M7" s="316" t="s">
        <v>86</v>
      </c>
      <c r="N7" s="316" t="s">
        <v>86</v>
      </c>
      <c r="O7" s="316" t="s">
        <v>86</v>
      </c>
      <c r="P7" s="316" t="s">
        <v>86</v>
      </c>
      <c r="Q7" s="316" t="s">
        <v>86</v>
      </c>
      <c r="R7" s="316" t="s">
        <v>86</v>
      </c>
    </row>
    <row r="8" spans="1:18" ht="12.75" hidden="1">
      <c r="A8" s="317">
        <v>10</v>
      </c>
      <c r="B8" s="318">
        <v>4.37</v>
      </c>
      <c r="C8" s="318">
        <v>4.93</v>
      </c>
      <c r="D8" s="318">
        <v>5.49</v>
      </c>
      <c r="E8" s="318">
        <v>6.85</v>
      </c>
      <c r="F8" s="318">
        <v>6.61</v>
      </c>
      <c r="G8" s="319">
        <v>1</v>
      </c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18" ht="12.75" hidden="1">
      <c r="A9" s="317">
        <v>50</v>
      </c>
      <c r="B9" s="318">
        <v>4.37</v>
      </c>
      <c r="C9" s="318">
        <v>4.93</v>
      </c>
      <c r="D9" s="318">
        <v>5.49</v>
      </c>
      <c r="E9" s="318">
        <v>6.85</v>
      </c>
      <c r="F9" s="318">
        <v>6.61</v>
      </c>
      <c r="G9" s="319">
        <v>2</v>
      </c>
      <c r="H9" s="317">
        <f aca="true" t="shared" si="0" ref="H9:H55">$A9*$B9*H$6*$J$57*$J$58*$J$59*$J$60/100</f>
        <v>40.31325</v>
      </c>
      <c r="I9" s="317">
        <f aca="true" t="shared" si="1" ref="I9:I55">$A9*$C9*$I$6*$J$57*$J$58*$J$59*$J$60/100</f>
        <v>99.09299999999999</v>
      </c>
      <c r="J9" s="317">
        <f aca="true" t="shared" si="2" ref="J9:J55">$A9*$D9*$J$6*$J$57*$J$58*$J$59*$J$60/100</f>
        <v>179.93474999999998</v>
      </c>
      <c r="K9" s="317">
        <f aca="true" t="shared" si="3" ref="K9:K55">$A9*$D9*$K$6*$J$57*$J$58*$J$59*$J$60/100</f>
        <v>205.05149999999998</v>
      </c>
      <c r="L9" s="317">
        <f aca="true" t="shared" si="4" ref="L9:L55">$A9*$E9*$L$6*$J$57*$J$58*$J$59*$J$60/100</f>
        <v>288.21375</v>
      </c>
      <c r="M9" s="317">
        <f aca="true" t="shared" si="5" ref="M9:M55">$A9*$E9*$M$6*$J$57*$J$58*$J$59*$J$60/100</f>
        <v>319.5525</v>
      </c>
      <c r="N9" s="317">
        <f aca="true" t="shared" si="6" ref="N9:N55">$A9*$E9*$N$6*$J$57*$J$58*$J$59*$J$60/100</f>
        <v>383.2575</v>
      </c>
      <c r="O9" s="317">
        <f aca="true" t="shared" si="7" ref="O9:O55">$A9*$F9*$O$6*$J$57*$J$58*$J$59*$J$60/100</f>
        <v>459.06449999999995</v>
      </c>
      <c r="P9" s="317">
        <f aca="true" t="shared" si="8" ref="P9:P55">$A9*$F9*$P$6*$J$57*$J$58*$J$59*$J$60/100</f>
        <v>556.2315</v>
      </c>
      <c r="Q9" s="317">
        <f aca="true" t="shared" si="9" ref="Q9:Q55">$A9*$F9*$Q$6*$J$57*$J$58*$J$59*$J$60/100</f>
        <v>634.0642499999999</v>
      </c>
      <c r="R9" s="317">
        <f aca="true" t="shared" si="10" ref="R9:R55">$A9*$F9*$R$6*$J$57*$J$58*$J$59*$J$60/100</f>
        <v>757.5059999999999</v>
      </c>
    </row>
    <row r="10" spans="1:18" ht="12.75" hidden="1">
      <c r="A10" s="317">
        <v>100</v>
      </c>
      <c r="B10" s="318">
        <v>4.37</v>
      </c>
      <c r="C10" s="318">
        <v>4.93</v>
      </c>
      <c r="D10" s="318">
        <v>5.49</v>
      </c>
      <c r="E10" s="318">
        <v>6.85</v>
      </c>
      <c r="F10" s="318">
        <v>6.61</v>
      </c>
      <c r="G10" s="321">
        <f>G9+1</f>
        <v>3</v>
      </c>
      <c r="H10" s="317">
        <f t="shared" si="0"/>
        <v>80.6265</v>
      </c>
      <c r="I10" s="317">
        <f t="shared" si="1"/>
        <v>198.18599999999998</v>
      </c>
      <c r="J10" s="317">
        <f t="shared" si="2"/>
        <v>359.86949999999996</v>
      </c>
      <c r="K10" s="317">
        <f t="shared" si="3"/>
        <v>410.10299999999995</v>
      </c>
      <c r="L10" s="317">
        <f t="shared" si="4"/>
        <v>576.4275</v>
      </c>
      <c r="M10" s="317">
        <f t="shared" si="5"/>
        <v>639.105</v>
      </c>
      <c r="N10" s="317">
        <f t="shared" si="6"/>
        <v>766.515</v>
      </c>
      <c r="O10" s="317">
        <f t="shared" si="7"/>
        <v>918.1289999999999</v>
      </c>
      <c r="P10" s="317">
        <f t="shared" si="8"/>
        <v>1112.463</v>
      </c>
      <c r="Q10" s="317">
        <f t="shared" si="9"/>
        <v>1268.1284999999998</v>
      </c>
      <c r="R10" s="317">
        <f t="shared" si="10"/>
        <v>1515.0119999999997</v>
      </c>
    </row>
    <row r="11" spans="1:18" ht="12.75">
      <c r="A11" s="317">
        <v>150</v>
      </c>
      <c r="B11" s="318">
        <v>4.37</v>
      </c>
      <c r="C11" s="318">
        <v>4.93</v>
      </c>
      <c r="D11" s="318">
        <v>5.49</v>
      </c>
      <c r="E11" s="318">
        <v>6.85</v>
      </c>
      <c r="F11" s="318">
        <v>6.61</v>
      </c>
      <c r="G11" s="321">
        <f>G10+1</f>
        <v>4</v>
      </c>
      <c r="H11" s="317">
        <f t="shared" si="0"/>
        <v>120.93975</v>
      </c>
      <c r="I11" s="317">
        <f t="shared" si="1"/>
        <v>297.279</v>
      </c>
      <c r="J11" s="317">
        <f t="shared" si="2"/>
        <v>539.8042499999999</v>
      </c>
      <c r="K11" s="317">
        <f t="shared" si="3"/>
        <v>615.1545</v>
      </c>
      <c r="L11" s="317">
        <f t="shared" si="4"/>
        <v>864.64125</v>
      </c>
      <c r="M11" s="317">
        <f t="shared" si="5"/>
        <v>958.6575</v>
      </c>
      <c r="N11" s="317">
        <f t="shared" si="6"/>
        <v>1149.7725</v>
      </c>
      <c r="O11" s="317">
        <f t="shared" si="7"/>
        <v>1377.1935</v>
      </c>
      <c r="P11" s="317">
        <f t="shared" si="8"/>
        <v>1668.6944999999998</v>
      </c>
      <c r="Q11" s="317">
        <f t="shared" si="9"/>
        <v>1902.19275</v>
      </c>
      <c r="R11" s="317">
        <f t="shared" si="10"/>
        <v>2272.518</v>
      </c>
    </row>
    <row r="12" spans="1:18" ht="12.75">
      <c r="A12" s="317">
        <v>200</v>
      </c>
      <c r="B12" s="318">
        <v>4.37</v>
      </c>
      <c r="C12" s="318">
        <v>4.93</v>
      </c>
      <c r="D12" s="318">
        <v>5.49</v>
      </c>
      <c r="E12" s="318">
        <v>6.85</v>
      </c>
      <c r="F12" s="318">
        <v>6.61</v>
      </c>
      <c r="G12" s="321">
        <f aca="true" t="shared" si="11" ref="G12:G55">G11+1</f>
        <v>5</v>
      </c>
      <c r="H12" s="317">
        <f t="shared" si="0"/>
        <v>161.253</v>
      </c>
      <c r="I12" s="317">
        <f t="shared" si="1"/>
        <v>396.37199999999996</v>
      </c>
      <c r="J12" s="317">
        <f t="shared" si="2"/>
        <v>719.7389999999999</v>
      </c>
      <c r="K12" s="317">
        <f t="shared" si="3"/>
        <v>820.2059999999999</v>
      </c>
      <c r="L12" s="317">
        <f t="shared" si="4"/>
        <v>1152.855</v>
      </c>
      <c r="M12" s="317">
        <f t="shared" si="5"/>
        <v>1278.21</v>
      </c>
      <c r="N12" s="317">
        <f t="shared" si="6"/>
        <v>1533.03</v>
      </c>
      <c r="O12" s="317">
        <f t="shared" si="7"/>
        <v>1836.2579999999998</v>
      </c>
      <c r="P12" s="317">
        <f t="shared" si="8"/>
        <v>2224.926</v>
      </c>
      <c r="Q12" s="317">
        <f t="shared" si="9"/>
        <v>2536.2569999999996</v>
      </c>
      <c r="R12" s="317">
        <f t="shared" si="10"/>
        <v>3030.0239999999994</v>
      </c>
    </row>
    <row r="13" spans="1:18" s="289" customFormat="1" ht="12.75">
      <c r="A13" s="317">
        <v>250</v>
      </c>
      <c r="B13" s="318">
        <v>4.37</v>
      </c>
      <c r="C13" s="318">
        <v>4.93</v>
      </c>
      <c r="D13" s="318">
        <v>5.49</v>
      </c>
      <c r="E13" s="318">
        <v>6.85</v>
      </c>
      <c r="F13" s="318">
        <v>6.61</v>
      </c>
      <c r="G13" s="321">
        <f t="shared" si="11"/>
        <v>6</v>
      </c>
      <c r="H13" s="317">
        <f t="shared" si="0"/>
        <v>201.56625</v>
      </c>
      <c r="I13" s="317">
        <f t="shared" si="1"/>
        <v>495.465</v>
      </c>
      <c r="J13" s="317">
        <f t="shared" si="2"/>
        <v>899.67375</v>
      </c>
      <c r="K13" s="317">
        <f t="shared" si="3"/>
        <v>1025.2575</v>
      </c>
      <c r="L13" s="317">
        <f t="shared" si="4"/>
        <v>1441.06875</v>
      </c>
      <c r="M13" s="317">
        <f t="shared" si="5"/>
        <v>1597.7625</v>
      </c>
      <c r="N13" s="317">
        <f t="shared" si="6"/>
        <v>1916.2875</v>
      </c>
      <c r="O13" s="317">
        <f t="shared" si="7"/>
        <v>2295.3225</v>
      </c>
      <c r="P13" s="317">
        <f t="shared" si="8"/>
        <v>2781.1575</v>
      </c>
      <c r="Q13" s="317">
        <f t="shared" si="9"/>
        <v>3170.32125</v>
      </c>
      <c r="R13" s="317">
        <f t="shared" si="10"/>
        <v>3787.53</v>
      </c>
    </row>
    <row r="14" spans="1:18" s="289" customFormat="1" ht="12.75">
      <c r="A14" s="317">
        <v>300</v>
      </c>
      <c r="B14" s="318">
        <v>4.28</v>
      </c>
      <c r="C14" s="318">
        <v>4.84</v>
      </c>
      <c r="D14" s="318">
        <v>5.4</v>
      </c>
      <c r="E14" s="318">
        <v>5.96</v>
      </c>
      <c r="F14" s="318">
        <v>6.52</v>
      </c>
      <c r="G14" s="321">
        <f t="shared" si="11"/>
        <v>7</v>
      </c>
      <c r="H14" s="317">
        <f t="shared" si="0"/>
        <v>236.898</v>
      </c>
      <c r="I14" s="317">
        <f t="shared" si="1"/>
        <v>583.7040000000001</v>
      </c>
      <c r="J14" s="317">
        <f t="shared" si="2"/>
        <v>1061.91</v>
      </c>
      <c r="K14" s="317">
        <f t="shared" si="3"/>
        <v>1210.14</v>
      </c>
      <c r="L14" s="317">
        <f t="shared" si="4"/>
        <v>1504.6019999999999</v>
      </c>
      <c r="M14" s="317">
        <f t="shared" si="5"/>
        <v>1668.204</v>
      </c>
      <c r="N14" s="317">
        <f t="shared" si="6"/>
        <v>2000.772</v>
      </c>
      <c r="O14" s="317">
        <f t="shared" si="7"/>
        <v>2716.8839999999996</v>
      </c>
      <c r="P14" s="317">
        <f t="shared" si="8"/>
        <v>3291.9479999999994</v>
      </c>
      <c r="Q14" s="317">
        <f t="shared" si="9"/>
        <v>3752.5859999999993</v>
      </c>
      <c r="R14" s="317">
        <f t="shared" si="10"/>
        <v>4483.151999999999</v>
      </c>
    </row>
    <row r="15" spans="1:18" s="289" customFormat="1" ht="12.75">
      <c r="A15" s="317">
        <v>400</v>
      </c>
      <c r="B15" s="318">
        <v>4.1</v>
      </c>
      <c r="C15" s="318">
        <v>4.66</v>
      </c>
      <c r="D15" s="318">
        <v>5.22</v>
      </c>
      <c r="E15" s="318">
        <v>5.78</v>
      </c>
      <c r="F15" s="318">
        <v>6.34</v>
      </c>
      <c r="G15" s="321">
        <f t="shared" si="11"/>
        <v>8</v>
      </c>
      <c r="H15" s="317">
        <f t="shared" si="0"/>
        <v>302.5799999999999</v>
      </c>
      <c r="I15" s="317">
        <f t="shared" si="1"/>
        <v>749.328</v>
      </c>
      <c r="J15" s="317">
        <f t="shared" si="2"/>
        <v>1368.684</v>
      </c>
      <c r="K15" s="317">
        <f t="shared" si="3"/>
        <v>1559.736</v>
      </c>
      <c r="L15" s="317">
        <f t="shared" si="4"/>
        <v>1945.5479999999998</v>
      </c>
      <c r="M15" s="317">
        <f t="shared" si="5"/>
        <v>2157.096</v>
      </c>
      <c r="N15" s="317">
        <f t="shared" si="6"/>
        <v>2587.1279999999997</v>
      </c>
      <c r="O15" s="317">
        <f t="shared" si="7"/>
        <v>3522.5039999999995</v>
      </c>
      <c r="P15" s="317">
        <f t="shared" si="8"/>
        <v>4268.088</v>
      </c>
      <c r="Q15" s="317">
        <f t="shared" si="9"/>
        <v>4865.316</v>
      </c>
      <c r="R15" s="317">
        <f t="shared" si="10"/>
        <v>5812.512</v>
      </c>
    </row>
    <row r="16" spans="1:18" s="289" customFormat="1" ht="12.75">
      <c r="A16" s="317">
        <v>500</v>
      </c>
      <c r="B16" s="318">
        <v>3.92</v>
      </c>
      <c r="C16" s="318">
        <v>4.48</v>
      </c>
      <c r="D16" s="318">
        <v>5.04</v>
      </c>
      <c r="E16" s="318">
        <v>5.6</v>
      </c>
      <c r="F16" s="318">
        <v>6.16</v>
      </c>
      <c r="G16" s="321">
        <f t="shared" si="11"/>
        <v>9</v>
      </c>
      <c r="H16" s="317">
        <f t="shared" si="0"/>
        <v>361.62</v>
      </c>
      <c r="I16" s="317">
        <f t="shared" si="1"/>
        <v>900.48</v>
      </c>
      <c r="J16" s="317">
        <f t="shared" si="2"/>
        <v>1651.86</v>
      </c>
      <c r="K16" s="317">
        <f t="shared" si="3"/>
        <v>1882.44</v>
      </c>
      <c r="L16" s="317">
        <f t="shared" si="4"/>
        <v>2356.2</v>
      </c>
      <c r="M16" s="317">
        <f t="shared" si="5"/>
        <v>2612.4</v>
      </c>
      <c r="N16" s="317">
        <f t="shared" si="6"/>
        <v>3133.2</v>
      </c>
      <c r="O16" s="317">
        <f t="shared" si="7"/>
        <v>4278.12</v>
      </c>
      <c r="P16" s="317">
        <f t="shared" si="8"/>
        <v>5183.64</v>
      </c>
      <c r="Q16" s="317">
        <f t="shared" si="9"/>
        <v>5908.98</v>
      </c>
      <c r="R16" s="317">
        <f t="shared" si="10"/>
        <v>7059.36</v>
      </c>
    </row>
    <row r="17" spans="1:18" ht="12.75">
      <c r="A17" s="322">
        <v>600</v>
      </c>
      <c r="B17" s="323">
        <v>3.74</v>
      </c>
      <c r="C17" s="323">
        <v>4.3</v>
      </c>
      <c r="D17" s="323">
        <v>4.86</v>
      </c>
      <c r="E17" s="323">
        <v>5.42</v>
      </c>
      <c r="F17" s="323">
        <v>5.98</v>
      </c>
      <c r="G17" s="321">
        <f t="shared" si="11"/>
        <v>10</v>
      </c>
      <c r="H17" s="317">
        <f t="shared" si="0"/>
        <v>414.018</v>
      </c>
      <c r="I17" s="317">
        <f t="shared" si="1"/>
        <v>1037.16</v>
      </c>
      <c r="J17" s="317">
        <f t="shared" si="2"/>
        <v>1911.4379999999999</v>
      </c>
      <c r="K17" s="317">
        <f t="shared" si="3"/>
        <v>2178.252</v>
      </c>
      <c r="L17" s="317">
        <f t="shared" si="4"/>
        <v>2736.558</v>
      </c>
      <c r="M17" s="317">
        <f t="shared" si="5"/>
        <v>3034.116</v>
      </c>
      <c r="N17" s="317">
        <f t="shared" si="6"/>
        <v>3638.988</v>
      </c>
      <c r="O17" s="317">
        <f t="shared" si="7"/>
        <v>4983.732000000001</v>
      </c>
      <c r="P17" s="317">
        <f t="shared" si="8"/>
        <v>6038.604</v>
      </c>
      <c r="Q17" s="317">
        <f t="shared" si="9"/>
        <v>6883.578000000001</v>
      </c>
      <c r="R17" s="317">
        <f t="shared" si="10"/>
        <v>8223.696000000002</v>
      </c>
    </row>
    <row r="18" spans="1:18" ht="12.75">
      <c r="A18" s="322">
        <v>700</v>
      </c>
      <c r="B18" s="323">
        <v>3.56</v>
      </c>
      <c r="C18" s="323">
        <v>4.12</v>
      </c>
      <c r="D18" s="323">
        <v>4.68</v>
      </c>
      <c r="E18" s="323">
        <v>5.24</v>
      </c>
      <c r="F18" s="323">
        <v>5.8</v>
      </c>
      <c r="G18" s="321">
        <f t="shared" si="11"/>
        <v>11</v>
      </c>
      <c r="H18" s="317">
        <f t="shared" si="0"/>
        <v>459.774</v>
      </c>
      <c r="I18" s="317">
        <f t="shared" si="1"/>
        <v>1159.368</v>
      </c>
      <c r="J18" s="317">
        <f t="shared" si="2"/>
        <v>2147.4179999999997</v>
      </c>
      <c r="K18" s="317">
        <f t="shared" si="3"/>
        <v>2447.172</v>
      </c>
      <c r="L18" s="317">
        <f t="shared" si="4"/>
        <v>3086.6220000000003</v>
      </c>
      <c r="M18" s="317">
        <f t="shared" si="5"/>
        <v>3422.2439999999997</v>
      </c>
      <c r="N18" s="317">
        <f t="shared" si="6"/>
        <v>4104.492</v>
      </c>
      <c r="O18" s="317">
        <f t="shared" si="7"/>
        <v>5639.34</v>
      </c>
      <c r="P18" s="317">
        <f t="shared" si="8"/>
        <v>6832.98</v>
      </c>
      <c r="Q18" s="317">
        <f t="shared" si="9"/>
        <v>7789.11</v>
      </c>
      <c r="R18" s="317">
        <f t="shared" si="10"/>
        <v>9305.52</v>
      </c>
    </row>
    <row r="19" spans="1:18" ht="12.75">
      <c r="A19" s="322">
        <v>800</v>
      </c>
      <c r="B19" s="323">
        <v>3.38</v>
      </c>
      <c r="C19" s="323">
        <v>3.94</v>
      </c>
      <c r="D19" s="323">
        <v>4.5</v>
      </c>
      <c r="E19" s="323">
        <v>5.06</v>
      </c>
      <c r="F19" s="323">
        <v>5.62</v>
      </c>
      <c r="G19" s="321">
        <f t="shared" si="11"/>
        <v>12</v>
      </c>
      <c r="H19" s="317">
        <f t="shared" si="0"/>
        <v>498.888</v>
      </c>
      <c r="I19" s="317">
        <f t="shared" si="1"/>
        <v>1267.104</v>
      </c>
      <c r="J19" s="317">
        <f t="shared" si="2"/>
        <v>2359.8</v>
      </c>
      <c r="K19" s="317">
        <f t="shared" si="3"/>
        <v>2689.2</v>
      </c>
      <c r="L19" s="317">
        <f t="shared" si="4"/>
        <v>3406.391999999999</v>
      </c>
      <c r="M19" s="317">
        <f t="shared" si="5"/>
        <v>3776.783999999999</v>
      </c>
      <c r="N19" s="317">
        <f t="shared" si="6"/>
        <v>4529.711999999999</v>
      </c>
      <c r="O19" s="317">
        <f t="shared" si="7"/>
        <v>6244.944</v>
      </c>
      <c r="P19" s="317">
        <f t="shared" si="8"/>
        <v>7566.767999999999</v>
      </c>
      <c r="Q19" s="317">
        <f t="shared" si="9"/>
        <v>8625.576</v>
      </c>
      <c r="R19" s="317">
        <f t="shared" si="10"/>
        <v>10304.832</v>
      </c>
    </row>
    <row r="20" spans="1:18" ht="12.75">
      <c r="A20" s="322">
        <v>900</v>
      </c>
      <c r="B20" s="323">
        <v>3.2</v>
      </c>
      <c r="C20" s="323">
        <v>3.76</v>
      </c>
      <c r="D20" s="323">
        <v>4.32</v>
      </c>
      <c r="E20" s="323">
        <v>4.88</v>
      </c>
      <c r="F20" s="323">
        <v>5.44</v>
      </c>
      <c r="G20" s="321">
        <f t="shared" si="11"/>
        <v>13</v>
      </c>
      <c r="H20" s="317">
        <f t="shared" si="0"/>
        <v>531.36</v>
      </c>
      <c r="I20" s="317">
        <f t="shared" si="1"/>
        <v>1360.368</v>
      </c>
      <c r="J20" s="317">
        <f t="shared" si="2"/>
        <v>2548.5840000000003</v>
      </c>
      <c r="K20" s="317">
        <f t="shared" si="3"/>
        <v>2904.3360000000002</v>
      </c>
      <c r="L20" s="317">
        <f t="shared" si="4"/>
        <v>3695.868</v>
      </c>
      <c r="M20" s="317">
        <f t="shared" si="5"/>
        <v>4097.736</v>
      </c>
      <c r="N20" s="317">
        <f t="shared" si="6"/>
        <v>4914.648</v>
      </c>
      <c r="O20" s="317">
        <f t="shared" si="7"/>
        <v>6800.544</v>
      </c>
      <c r="P20" s="317">
        <f t="shared" si="8"/>
        <v>8239.967999999999</v>
      </c>
      <c r="Q20" s="317">
        <f t="shared" si="9"/>
        <v>9392.976</v>
      </c>
      <c r="R20" s="317">
        <f t="shared" si="10"/>
        <v>11221.632</v>
      </c>
    </row>
    <row r="21" spans="1:18" ht="12.75">
      <c r="A21" s="322">
        <v>1000</v>
      </c>
      <c r="B21" s="323">
        <v>3.02</v>
      </c>
      <c r="C21" s="323">
        <v>3.58</v>
      </c>
      <c r="D21" s="323">
        <v>4.14</v>
      </c>
      <c r="E21" s="323">
        <v>4.7</v>
      </c>
      <c r="F21" s="323">
        <v>5.26</v>
      </c>
      <c r="G21" s="321">
        <f t="shared" si="11"/>
        <v>14</v>
      </c>
      <c r="H21" s="317">
        <f t="shared" si="0"/>
        <v>557.19</v>
      </c>
      <c r="I21" s="317">
        <f t="shared" si="1"/>
        <v>1439.16</v>
      </c>
      <c r="J21" s="317">
        <f t="shared" si="2"/>
        <v>2713.77</v>
      </c>
      <c r="K21" s="317">
        <f t="shared" si="3"/>
        <v>3092.58</v>
      </c>
      <c r="L21" s="317">
        <f t="shared" si="4"/>
        <v>3955.05</v>
      </c>
      <c r="M21" s="317">
        <f t="shared" si="5"/>
        <v>4385.1</v>
      </c>
      <c r="N21" s="317">
        <f t="shared" si="6"/>
        <v>5259.3</v>
      </c>
      <c r="O21" s="317">
        <f t="shared" si="7"/>
        <v>7306.14</v>
      </c>
      <c r="P21" s="317">
        <f t="shared" si="8"/>
        <v>8852.58</v>
      </c>
      <c r="Q21" s="317">
        <f t="shared" si="9"/>
        <v>10091.31</v>
      </c>
      <c r="R21" s="317">
        <f t="shared" si="10"/>
        <v>12055.92</v>
      </c>
    </row>
    <row r="22" spans="1:18" ht="12.75">
      <c r="A22" s="322">
        <v>1500</v>
      </c>
      <c r="B22" s="323">
        <v>2.82</v>
      </c>
      <c r="C22" s="323">
        <v>3.34</v>
      </c>
      <c r="D22" s="323">
        <v>3.85</v>
      </c>
      <c r="E22" s="323">
        <v>4.37</v>
      </c>
      <c r="F22" s="323">
        <v>4.88</v>
      </c>
      <c r="G22" s="321">
        <f t="shared" si="11"/>
        <v>15</v>
      </c>
      <c r="H22" s="317">
        <f t="shared" si="0"/>
        <v>780.435</v>
      </c>
      <c r="I22" s="317">
        <f t="shared" si="1"/>
        <v>2014.02</v>
      </c>
      <c r="J22" s="317">
        <f t="shared" si="2"/>
        <v>3785.5125</v>
      </c>
      <c r="K22" s="317">
        <f t="shared" si="3"/>
        <v>4313.925</v>
      </c>
      <c r="L22" s="317">
        <f t="shared" si="4"/>
        <v>5516.0325</v>
      </c>
      <c r="M22" s="317">
        <f t="shared" si="5"/>
        <v>6115.815</v>
      </c>
      <c r="N22" s="317">
        <f t="shared" si="6"/>
        <v>7335.045</v>
      </c>
      <c r="O22" s="317">
        <f t="shared" si="7"/>
        <v>10167.48</v>
      </c>
      <c r="P22" s="317">
        <f t="shared" si="8"/>
        <v>12319.56</v>
      </c>
      <c r="Q22" s="317">
        <f t="shared" si="9"/>
        <v>14043.42</v>
      </c>
      <c r="R22" s="317">
        <f t="shared" si="10"/>
        <v>16777.44</v>
      </c>
    </row>
    <row r="23" spans="1:18" ht="12.75">
      <c r="A23" s="322">
        <v>2000</v>
      </c>
      <c r="B23" s="323">
        <v>2.62</v>
      </c>
      <c r="C23" s="323">
        <v>3.09</v>
      </c>
      <c r="D23" s="323">
        <v>3.56</v>
      </c>
      <c r="E23" s="323">
        <v>4.04</v>
      </c>
      <c r="F23" s="323">
        <v>4.5</v>
      </c>
      <c r="G23" s="321">
        <f t="shared" si="11"/>
        <v>16</v>
      </c>
      <c r="H23" s="317">
        <f t="shared" si="0"/>
        <v>966.78</v>
      </c>
      <c r="I23" s="317">
        <f t="shared" si="1"/>
        <v>2484.36</v>
      </c>
      <c r="J23" s="317">
        <f t="shared" si="2"/>
        <v>4667.16</v>
      </c>
      <c r="K23" s="317">
        <f t="shared" si="3"/>
        <v>5318.64</v>
      </c>
      <c r="L23" s="317">
        <f t="shared" si="4"/>
        <v>6799.32</v>
      </c>
      <c r="M23" s="317">
        <f t="shared" si="5"/>
        <v>7538.64</v>
      </c>
      <c r="N23" s="317">
        <f t="shared" si="6"/>
        <v>9041.52</v>
      </c>
      <c r="O23" s="317">
        <f t="shared" si="7"/>
        <v>12501</v>
      </c>
      <c r="P23" s="317">
        <f t="shared" si="8"/>
        <v>15147</v>
      </c>
      <c r="Q23" s="317">
        <f t="shared" si="9"/>
        <v>17266.5</v>
      </c>
      <c r="R23" s="317">
        <f t="shared" si="10"/>
        <v>20628</v>
      </c>
    </row>
    <row r="24" spans="1:18" ht="12.75">
      <c r="A24" s="322">
        <v>2500</v>
      </c>
      <c r="B24" s="323">
        <v>2.42</v>
      </c>
      <c r="C24" s="323">
        <v>2.84</v>
      </c>
      <c r="D24" s="323">
        <v>3.27</v>
      </c>
      <c r="E24" s="323">
        <v>3.7</v>
      </c>
      <c r="F24" s="323">
        <v>4.12</v>
      </c>
      <c r="G24" s="321">
        <f t="shared" si="11"/>
        <v>17</v>
      </c>
      <c r="H24" s="317">
        <f t="shared" si="0"/>
        <v>1116.225</v>
      </c>
      <c r="I24" s="317">
        <f t="shared" si="1"/>
        <v>2854.2</v>
      </c>
      <c r="J24" s="317">
        <f t="shared" si="2"/>
        <v>5358.7125</v>
      </c>
      <c r="K24" s="317">
        <f t="shared" si="3"/>
        <v>6106.725</v>
      </c>
      <c r="L24" s="317">
        <f t="shared" si="4"/>
        <v>7783.875</v>
      </c>
      <c r="M24" s="317">
        <f t="shared" si="5"/>
        <v>8630.25</v>
      </c>
      <c r="N24" s="317">
        <f t="shared" si="6"/>
        <v>10350.75</v>
      </c>
      <c r="O24" s="317">
        <f t="shared" si="7"/>
        <v>14306.7</v>
      </c>
      <c r="P24" s="317">
        <f t="shared" si="8"/>
        <v>17334.9</v>
      </c>
      <c r="Q24" s="317">
        <f t="shared" si="9"/>
        <v>19760.55</v>
      </c>
      <c r="R24" s="317">
        <f t="shared" si="10"/>
        <v>23607.6</v>
      </c>
    </row>
    <row r="25" spans="1:18" ht="12.75">
      <c r="A25" s="322">
        <v>3000</v>
      </c>
      <c r="B25" s="323">
        <v>2.33</v>
      </c>
      <c r="C25" s="323">
        <v>2.74</v>
      </c>
      <c r="D25" s="323">
        <v>3.14</v>
      </c>
      <c r="E25" s="323">
        <v>3.55</v>
      </c>
      <c r="F25" s="323">
        <v>3.95</v>
      </c>
      <c r="G25" s="321">
        <f t="shared" si="11"/>
        <v>18</v>
      </c>
      <c r="H25" s="317">
        <f t="shared" si="0"/>
        <v>1289.655</v>
      </c>
      <c r="I25" s="317">
        <f t="shared" si="1"/>
        <v>3304.44</v>
      </c>
      <c r="J25" s="317">
        <f t="shared" si="2"/>
        <v>6174.81</v>
      </c>
      <c r="K25" s="317">
        <f t="shared" si="3"/>
        <v>7036.74</v>
      </c>
      <c r="L25" s="317">
        <f t="shared" si="4"/>
        <v>8961.975</v>
      </c>
      <c r="M25" s="317">
        <f t="shared" si="5"/>
        <v>9936.45</v>
      </c>
      <c r="N25" s="317">
        <f t="shared" si="6"/>
        <v>11917.35</v>
      </c>
      <c r="O25" s="317">
        <f t="shared" si="7"/>
        <v>16459.65</v>
      </c>
      <c r="P25" s="317">
        <f t="shared" si="8"/>
        <v>19943.55</v>
      </c>
      <c r="Q25" s="317">
        <f t="shared" si="9"/>
        <v>22734.225</v>
      </c>
      <c r="R25" s="317">
        <f t="shared" si="10"/>
        <v>27160.2</v>
      </c>
    </row>
    <row r="26" spans="1:18" ht="12.75">
      <c r="A26" s="322">
        <v>4000</v>
      </c>
      <c r="B26" s="323">
        <v>2.16</v>
      </c>
      <c r="C26" s="323">
        <v>2.53</v>
      </c>
      <c r="D26" s="323">
        <v>2.88</v>
      </c>
      <c r="E26" s="323">
        <v>3.24</v>
      </c>
      <c r="F26" s="323">
        <v>3.6</v>
      </c>
      <c r="G26" s="321">
        <f t="shared" si="11"/>
        <v>19</v>
      </c>
      <c r="H26" s="317">
        <f t="shared" si="0"/>
        <v>1594.08</v>
      </c>
      <c r="I26" s="317">
        <f t="shared" si="1"/>
        <v>4068.24</v>
      </c>
      <c r="J26" s="317">
        <f t="shared" si="2"/>
        <v>7551.36</v>
      </c>
      <c r="K26" s="317">
        <f t="shared" si="3"/>
        <v>8605.44</v>
      </c>
      <c r="L26" s="317">
        <f t="shared" si="4"/>
        <v>10905.84</v>
      </c>
      <c r="M26" s="317">
        <f t="shared" si="5"/>
        <v>12091.68</v>
      </c>
      <c r="N26" s="317">
        <f t="shared" si="6"/>
        <v>14502.24</v>
      </c>
      <c r="O26" s="317">
        <f t="shared" si="7"/>
        <v>20001.6</v>
      </c>
      <c r="P26" s="317">
        <f t="shared" si="8"/>
        <v>24235.2</v>
      </c>
      <c r="Q26" s="317">
        <f t="shared" si="9"/>
        <v>27626.4</v>
      </c>
      <c r="R26" s="317">
        <f t="shared" si="10"/>
        <v>33004.8</v>
      </c>
    </row>
    <row r="27" spans="1:18" ht="12.75">
      <c r="A27" s="322">
        <v>4500</v>
      </c>
      <c r="B27" s="323">
        <v>2.09</v>
      </c>
      <c r="C27" s="323">
        <v>2.42</v>
      </c>
      <c r="D27" s="323">
        <v>2.75</v>
      </c>
      <c r="E27" s="323">
        <v>3.09</v>
      </c>
      <c r="F27" s="323">
        <v>3.42</v>
      </c>
      <c r="G27" s="321">
        <f t="shared" si="11"/>
        <v>20</v>
      </c>
      <c r="H27" s="317">
        <f t="shared" si="0"/>
        <v>1735.2225</v>
      </c>
      <c r="I27" s="317">
        <f t="shared" si="1"/>
        <v>4377.78</v>
      </c>
      <c r="J27" s="317">
        <f t="shared" si="2"/>
        <v>8111.8125</v>
      </c>
      <c r="K27" s="317">
        <f t="shared" si="3"/>
        <v>9244.125</v>
      </c>
      <c r="L27" s="317">
        <f t="shared" si="4"/>
        <v>11701.0575</v>
      </c>
      <c r="M27" s="317">
        <f t="shared" si="5"/>
        <v>12973.365</v>
      </c>
      <c r="N27" s="317">
        <f t="shared" si="6"/>
        <v>15559.695</v>
      </c>
      <c r="O27" s="317">
        <f t="shared" si="7"/>
        <v>21376.71</v>
      </c>
      <c r="P27" s="317">
        <f t="shared" si="8"/>
        <v>25901.37</v>
      </c>
      <c r="Q27" s="317">
        <f t="shared" si="9"/>
        <v>29525.715</v>
      </c>
      <c r="R27" s="317">
        <f t="shared" si="10"/>
        <v>35273.88</v>
      </c>
    </row>
    <row r="28" spans="1:18" ht="12.75">
      <c r="A28" s="322">
        <v>5000</v>
      </c>
      <c r="B28" s="323">
        <v>2</v>
      </c>
      <c r="C28" s="323">
        <v>2.31</v>
      </c>
      <c r="D28" s="323">
        <v>2.62</v>
      </c>
      <c r="E28" s="323">
        <v>2.93</v>
      </c>
      <c r="F28" s="323">
        <v>3.24</v>
      </c>
      <c r="G28" s="321">
        <f t="shared" si="11"/>
        <v>21</v>
      </c>
      <c r="H28" s="317">
        <f t="shared" si="0"/>
        <v>1845</v>
      </c>
      <c r="I28" s="317">
        <f t="shared" si="1"/>
        <v>4643.1</v>
      </c>
      <c r="J28" s="317">
        <f t="shared" si="2"/>
        <v>8587.05</v>
      </c>
      <c r="K28" s="317">
        <f t="shared" si="3"/>
        <v>9785.7</v>
      </c>
      <c r="L28" s="317">
        <f t="shared" si="4"/>
        <v>12327.975</v>
      </c>
      <c r="M28" s="317">
        <f t="shared" si="5"/>
        <v>13668.45</v>
      </c>
      <c r="N28" s="317">
        <f t="shared" si="6"/>
        <v>16393.35</v>
      </c>
      <c r="O28" s="317">
        <f t="shared" si="7"/>
        <v>22501.8</v>
      </c>
      <c r="P28" s="317">
        <f t="shared" si="8"/>
        <v>27264.600000000006</v>
      </c>
      <c r="Q28" s="317">
        <f t="shared" si="9"/>
        <v>31079.700000000004</v>
      </c>
      <c r="R28" s="317">
        <f t="shared" si="10"/>
        <v>37130.4</v>
      </c>
    </row>
    <row r="29" spans="1:18" ht="12.75">
      <c r="A29" s="322">
        <v>6000</v>
      </c>
      <c r="B29" s="323">
        <v>1.92</v>
      </c>
      <c r="C29" s="323">
        <v>2.21</v>
      </c>
      <c r="D29" s="323">
        <v>2.5</v>
      </c>
      <c r="E29" s="323">
        <v>2.79</v>
      </c>
      <c r="F29" s="323">
        <v>3.08</v>
      </c>
      <c r="G29" s="321">
        <f t="shared" si="11"/>
        <v>22</v>
      </c>
      <c r="H29" s="317">
        <f t="shared" si="0"/>
        <v>2125.44</v>
      </c>
      <c r="I29" s="317">
        <f t="shared" si="1"/>
        <v>5330.52</v>
      </c>
      <c r="J29" s="317">
        <f t="shared" si="2"/>
        <v>9832.5</v>
      </c>
      <c r="K29" s="317">
        <f t="shared" si="3"/>
        <v>11205</v>
      </c>
      <c r="L29" s="317">
        <f t="shared" si="4"/>
        <v>14086.71</v>
      </c>
      <c r="M29" s="317">
        <f t="shared" si="5"/>
        <v>15618.42</v>
      </c>
      <c r="N29" s="317">
        <f t="shared" si="6"/>
        <v>18732.06</v>
      </c>
      <c r="O29" s="317">
        <f t="shared" si="7"/>
        <v>25668.72</v>
      </c>
      <c r="P29" s="317">
        <f t="shared" si="8"/>
        <v>31101.84</v>
      </c>
      <c r="Q29" s="317">
        <f t="shared" si="9"/>
        <v>35453.88</v>
      </c>
      <c r="R29" s="317">
        <f t="shared" si="10"/>
        <v>42356.16</v>
      </c>
    </row>
    <row r="30" spans="1:18" ht="12.75">
      <c r="A30" s="322">
        <v>7000</v>
      </c>
      <c r="B30" s="323">
        <v>1.84</v>
      </c>
      <c r="C30" s="323">
        <v>2.11</v>
      </c>
      <c r="D30" s="323">
        <v>2.38</v>
      </c>
      <c r="E30" s="323">
        <v>2.66</v>
      </c>
      <c r="F30" s="323">
        <v>2.92</v>
      </c>
      <c r="G30" s="321">
        <f t="shared" si="11"/>
        <v>23</v>
      </c>
      <c r="H30" s="317">
        <f t="shared" si="0"/>
        <v>2376.36</v>
      </c>
      <c r="I30" s="317">
        <f t="shared" si="1"/>
        <v>5937.54</v>
      </c>
      <c r="J30" s="317">
        <f t="shared" si="2"/>
        <v>10920.63</v>
      </c>
      <c r="K30" s="317">
        <f t="shared" si="3"/>
        <v>12445.02</v>
      </c>
      <c r="L30" s="317">
        <f t="shared" si="4"/>
        <v>15668.73</v>
      </c>
      <c r="M30" s="317">
        <f t="shared" si="5"/>
        <v>17372.46</v>
      </c>
      <c r="N30" s="317">
        <f t="shared" si="6"/>
        <v>20835.78</v>
      </c>
      <c r="O30" s="317">
        <f t="shared" si="7"/>
        <v>28391.16</v>
      </c>
      <c r="P30" s="317">
        <f t="shared" si="8"/>
        <v>34400.52</v>
      </c>
      <c r="Q30" s="317">
        <f t="shared" si="9"/>
        <v>39214.14</v>
      </c>
      <c r="R30" s="317">
        <f t="shared" si="10"/>
        <v>46848.48</v>
      </c>
    </row>
    <row r="31" spans="1:18" ht="12.75">
      <c r="A31" s="322">
        <v>8000</v>
      </c>
      <c r="B31" s="323">
        <v>1.77</v>
      </c>
      <c r="C31" s="323">
        <v>2.03</v>
      </c>
      <c r="D31" s="323">
        <v>2.28</v>
      </c>
      <c r="E31" s="323">
        <v>2.54</v>
      </c>
      <c r="F31" s="323">
        <v>2.79</v>
      </c>
      <c r="G31" s="321">
        <f t="shared" si="11"/>
        <v>24</v>
      </c>
      <c r="H31" s="317">
        <f t="shared" si="0"/>
        <v>2612.52</v>
      </c>
      <c r="I31" s="317">
        <f t="shared" si="1"/>
        <v>6528.479999999999</v>
      </c>
      <c r="J31" s="317">
        <f t="shared" si="2"/>
        <v>11956.32</v>
      </c>
      <c r="K31" s="317">
        <f t="shared" si="3"/>
        <v>13625.28</v>
      </c>
      <c r="L31" s="317">
        <f t="shared" si="4"/>
        <v>17099.28</v>
      </c>
      <c r="M31" s="317">
        <f t="shared" si="5"/>
        <v>18958.56</v>
      </c>
      <c r="N31" s="317">
        <f t="shared" si="6"/>
        <v>22738.08</v>
      </c>
      <c r="O31" s="317">
        <f t="shared" si="7"/>
        <v>31002.48</v>
      </c>
      <c r="P31" s="317">
        <f t="shared" si="8"/>
        <v>37564.56</v>
      </c>
      <c r="Q31" s="317">
        <f t="shared" si="9"/>
        <v>42820.92</v>
      </c>
      <c r="R31" s="317">
        <f t="shared" si="10"/>
        <v>51157.44</v>
      </c>
    </row>
    <row r="32" spans="1:18" ht="12.75">
      <c r="A32" s="322">
        <v>9000</v>
      </c>
      <c r="B32" s="323">
        <v>1.73</v>
      </c>
      <c r="C32" s="323">
        <v>1.97</v>
      </c>
      <c r="D32" s="323">
        <v>2.21</v>
      </c>
      <c r="E32" s="323">
        <v>2.46</v>
      </c>
      <c r="F32" s="323">
        <v>2.7</v>
      </c>
      <c r="G32" s="321">
        <f t="shared" si="11"/>
        <v>25</v>
      </c>
      <c r="H32" s="317">
        <f t="shared" si="0"/>
        <v>2872.665</v>
      </c>
      <c r="I32" s="317">
        <f t="shared" si="1"/>
        <v>7127.46</v>
      </c>
      <c r="J32" s="317">
        <f t="shared" si="2"/>
        <v>13037.895</v>
      </c>
      <c r="K32" s="317">
        <f t="shared" si="3"/>
        <v>14857.83</v>
      </c>
      <c r="L32" s="317">
        <f t="shared" si="4"/>
        <v>18630.81</v>
      </c>
      <c r="M32" s="317">
        <f t="shared" si="5"/>
        <v>20656.62</v>
      </c>
      <c r="N32" s="317">
        <f t="shared" si="6"/>
        <v>24774.66</v>
      </c>
      <c r="O32" s="317">
        <f t="shared" si="7"/>
        <v>33752.7</v>
      </c>
      <c r="P32" s="317">
        <f t="shared" si="8"/>
        <v>40896.9</v>
      </c>
      <c r="Q32" s="317">
        <f t="shared" si="9"/>
        <v>46619.55</v>
      </c>
      <c r="R32" s="317">
        <f t="shared" si="10"/>
        <v>55695.6</v>
      </c>
    </row>
    <row r="33" spans="1:18" ht="12.75">
      <c r="A33" s="322">
        <v>10000</v>
      </c>
      <c r="B33" s="323">
        <v>1.69</v>
      </c>
      <c r="C33" s="323">
        <v>1.91</v>
      </c>
      <c r="D33" s="323">
        <v>2.15</v>
      </c>
      <c r="E33" s="323">
        <v>2.33</v>
      </c>
      <c r="F33" s="323">
        <v>2.61</v>
      </c>
      <c r="G33" s="321">
        <f t="shared" si="11"/>
        <v>26</v>
      </c>
      <c r="H33" s="317">
        <f t="shared" si="0"/>
        <v>3118.05</v>
      </c>
      <c r="I33" s="317">
        <f t="shared" si="1"/>
        <v>7678.2</v>
      </c>
      <c r="J33" s="317">
        <f t="shared" si="2"/>
        <v>14093.25</v>
      </c>
      <c r="K33" s="317">
        <f t="shared" si="3"/>
        <v>16060.5</v>
      </c>
      <c r="L33" s="317">
        <f t="shared" si="4"/>
        <v>19606.95</v>
      </c>
      <c r="M33" s="317">
        <f t="shared" si="5"/>
        <v>21738.9</v>
      </c>
      <c r="N33" s="317">
        <f t="shared" si="6"/>
        <v>26072.7</v>
      </c>
      <c r="O33" s="317">
        <f t="shared" si="7"/>
        <v>36252.9</v>
      </c>
      <c r="P33" s="317">
        <f t="shared" si="8"/>
        <v>43926.3</v>
      </c>
      <c r="Q33" s="317">
        <f t="shared" si="9"/>
        <v>50072.85</v>
      </c>
      <c r="R33" s="317">
        <f t="shared" si="10"/>
        <v>59821.2</v>
      </c>
    </row>
    <row r="34" spans="1:18" ht="12.75">
      <c r="A34" s="322">
        <v>12500</v>
      </c>
      <c r="B34" s="323">
        <v>1.57</v>
      </c>
      <c r="C34" s="323">
        <v>1.79</v>
      </c>
      <c r="D34" s="323">
        <v>2</v>
      </c>
      <c r="E34" s="323">
        <v>2.21</v>
      </c>
      <c r="F34" s="323">
        <v>2.42</v>
      </c>
      <c r="G34" s="321">
        <f t="shared" si="11"/>
        <v>27</v>
      </c>
      <c r="H34" s="317">
        <f t="shared" si="0"/>
        <v>3620.8125</v>
      </c>
      <c r="I34" s="317">
        <f t="shared" si="1"/>
        <v>8994.75</v>
      </c>
      <c r="J34" s="317">
        <f t="shared" si="2"/>
        <v>16387.5</v>
      </c>
      <c r="K34" s="317">
        <f t="shared" si="3"/>
        <v>18675</v>
      </c>
      <c r="L34" s="317">
        <f t="shared" si="4"/>
        <v>23246.4375</v>
      </c>
      <c r="M34" s="317">
        <f t="shared" si="5"/>
        <v>25774.125</v>
      </c>
      <c r="N34" s="317">
        <f t="shared" si="6"/>
        <v>30912.375</v>
      </c>
      <c r="O34" s="317">
        <f t="shared" si="7"/>
        <v>42017.25</v>
      </c>
      <c r="P34" s="317">
        <f t="shared" si="8"/>
        <v>50910.75</v>
      </c>
      <c r="Q34" s="317">
        <f t="shared" si="9"/>
        <v>58034.625</v>
      </c>
      <c r="R34" s="317">
        <f t="shared" si="10"/>
        <v>69333</v>
      </c>
    </row>
    <row r="35" spans="1:18" ht="12.75">
      <c r="A35" s="322">
        <v>15000</v>
      </c>
      <c r="B35" s="323">
        <v>1.49</v>
      </c>
      <c r="C35" s="323">
        <v>1.68</v>
      </c>
      <c r="D35" s="323">
        <v>1.87</v>
      </c>
      <c r="E35" s="323">
        <v>2.07</v>
      </c>
      <c r="F35" s="323">
        <v>2.27</v>
      </c>
      <c r="G35" s="321">
        <f t="shared" si="11"/>
        <v>28</v>
      </c>
      <c r="H35" s="317">
        <f t="shared" si="0"/>
        <v>4123.575</v>
      </c>
      <c r="I35" s="317">
        <f t="shared" si="1"/>
        <v>10130.4</v>
      </c>
      <c r="J35" s="317">
        <f t="shared" si="2"/>
        <v>18386.775</v>
      </c>
      <c r="K35" s="317">
        <f t="shared" si="3"/>
        <v>20953.35</v>
      </c>
      <c r="L35" s="317">
        <f t="shared" si="4"/>
        <v>26128.574999999997</v>
      </c>
      <c r="M35" s="317">
        <f t="shared" si="5"/>
        <v>28969.649999999994</v>
      </c>
      <c r="N35" s="317">
        <f t="shared" si="6"/>
        <v>34744.95</v>
      </c>
      <c r="O35" s="317">
        <f t="shared" si="7"/>
        <v>47295.45</v>
      </c>
      <c r="P35" s="317">
        <f t="shared" si="8"/>
        <v>57306.15</v>
      </c>
      <c r="Q35" s="317">
        <f t="shared" si="9"/>
        <v>65324.925</v>
      </c>
      <c r="R35" s="317">
        <f t="shared" si="10"/>
        <v>78042.6</v>
      </c>
    </row>
    <row r="36" spans="1:18" ht="12.75">
      <c r="A36" s="322">
        <v>20000</v>
      </c>
      <c r="B36" s="323">
        <v>1.34</v>
      </c>
      <c r="C36" s="323">
        <v>1.51</v>
      </c>
      <c r="D36" s="323">
        <v>1.67</v>
      </c>
      <c r="E36" s="323">
        <v>1.84</v>
      </c>
      <c r="F36" s="323">
        <v>2</v>
      </c>
      <c r="G36" s="321">
        <f t="shared" si="11"/>
        <v>29</v>
      </c>
      <c r="H36" s="317">
        <f t="shared" si="0"/>
        <v>4944.6</v>
      </c>
      <c r="I36" s="317">
        <f t="shared" si="1"/>
        <v>12140.4</v>
      </c>
      <c r="J36" s="317">
        <f t="shared" si="2"/>
        <v>21893.7</v>
      </c>
      <c r="K36" s="317">
        <f t="shared" si="3"/>
        <v>24949.8</v>
      </c>
      <c r="L36" s="317">
        <f t="shared" si="4"/>
        <v>30967.2</v>
      </c>
      <c r="M36" s="317">
        <f t="shared" si="5"/>
        <v>34334.4</v>
      </c>
      <c r="N36" s="317">
        <f t="shared" si="6"/>
        <v>41179.2</v>
      </c>
      <c r="O36" s="317">
        <f t="shared" si="7"/>
        <v>55560</v>
      </c>
      <c r="P36" s="317">
        <f t="shared" si="8"/>
        <v>67320</v>
      </c>
      <c r="Q36" s="317">
        <f t="shared" si="9"/>
        <v>76740</v>
      </c>
      <c r="R36" s="317">
        <f t="shared" si="10"/>
        <v>91680</v>
      </c>
    </row>
    <row r="37" spans="1:18" ht="12.75">
      <c r="A37" s="322">
        <v>22500</v>
      </c>
      <c r="B37" s="323">
        <v>1.28</v>
      </c>
      <c r="C37" s="323">
        <v>1.43</v>
      </c>
      <c r="D37" s="323">
        <v>1.57</v>
      </c>
      <c r="E37" s="323">
        <v>1.73</v>
      </c>
      <c r="F37" s="323">
        <v>1.88</v>
      </c>
      <c r="G37" s="321">
        <f t="shared" si="11"/>
        <v>30</v>
      </c>
      <c r="H37" s="317">
        <f t="shared" si="0"/>
        <v>5313.6</v>
      </c>
      <c r="I37" s="317">
        <f t="shared" si="1"/>
        <v>12934.35</v>
      </c>
      <c r="J37" s="317">
        <f t="shared" si="2"/>
        <v>23155.5375</v>
      </c>
      <c r="K37" s="317">
        <f t="shared" si="3"/>
        <v>26387.775</v>
      </c>
      <c r="L37" s="317">
        <f t="shared" si="4"/>
        <v>32755.3875</v>
      </c>
      <c r="M37" s="317">
        <f t="shared" si="5"/>
        <v>36317.025</v>
      </c>
      <c r="N37" s="317">
        <f t="shared" si="6"/>
        <v>43557.075</v>
      </c>
      <c r="O37" s="317">
        <f t="shared" si="7"/>
        <v>58754.7</v>
      </c>
      <c r="P37" s="317">
        <f t="shared" si="8"/>
        <v>71190.9</v>
      </c>
      <c r="Q37" s="317">
        <f t="shared" si="9"/>
        <v>81152.55</v>
      </c>
      <c r="R37" s="317">
        <f t="shared" si="10"/>
        <v>96951.6</v>
      </c>
    </row>
    <row r="38" spans="1:18" ht="12.75">
      <c r="A38" s="322">
        <v>25000</v>
      </c>
      <c r="B38" s="323">
        <v>1.22</v>
      </c>
      <c r="C38" s="323">
        <v>1.35</v>
      </c>
      <c r="D38" s="323">
        <v>1.5</v>
      </c>
      <c r="E38" s="323">
        <v>1.64</v>
      </c>
      <c r="F38" s="323">
        <v>1.79</v>
      </c>
      <c r="G38" s="321">
        <f t="shared" si="11"/>
        <v>31</v>
      </c>
      <c r="H38" s="317">
        <f t="shared" si="0"/>
        <v>5627.25</v>
      </c>
      <c r="I38" s="317">
        <f t="shared" si="1"/>
        <v>13567.5</v>
      </c>
      <c r="J38" s="317">
        <f t="shared" si="2"/>
        <v>24581.25</v>
      </c>
      <c r="K38" s="317">
        <f t="shared" si="3"/>
        <v>28012.5</v>
      </c>
      <c r="L38" s="317">
        <f t="shared" si="4"/>
        <v>34501.5</v>
      </c>
      <c r="M38" s="317">
        <f t="shared" si="5"/>
        <v>38253</v>
      </c>
      <c r="N38" s="317">
        <f t="shared" si="6"/>
        <v>45879</v>
      </c>
      <c r="O38" s="317">
        <f t="shared" si="7"/>
        <v>62157.75</v>
      </c>
      <c r="P38" s="317">
        <f t="shared" si="8"/>
        <v>75314.25</v>
      </c>
      <c r="Q38" s="317">
        <f t="shared" si="9"/>
        <v>85852.875</v>
      </c>
      <c r="R38" s="317">
        <f t="shared" si="10"/>
        <v>102567</v>
      </c>
    </row>
    <row r="39" spans="1:18" ht="12.75">
      <c r="A39" s="322">
        <v>27500</v>
      </c>
      <c r="B39" s="323">
        <v>1.16</v>
      </c>
      <c r="C39" s="323">
        <v>1.29</v>
      </c>
      <c r="D39" s="323">
        <v>1.42</v>
      </c>
      <c r="E39" s="323">
        <v>1.55</v>
      </c>
      <c r="F39" s="323">
        <v>1.68</v>
      </c>
      <c r="G39" s="321">
        <f t="shared" si="11"/>
        <v>32</v>
      </c>
      <c r="H39" s="317">
        <f t="shared" si="0"/>
        <v>5885.549999999999</v>
      </c>
      <c r="I39" s="317">
        <f t="shared" si="1"/>
        <v>14260.95</v>
      </c>
      <c r="J39" s="317">
        <f t="shared" si="2"/>
        <v>25597.275</v>
      </c>
      <c r="K39" s="317">
        <f t="shared" si="3"/>
        <v>29170.35</v>
      </c>
      <c r="L39" s="317">
        <f t="shared" si="4"/>
        <v>35868.9375</v>
      </c>
      <c r="M39" s="317">
        <f t="shared" si="5"/>
        <v>39769.125</v>
      </c>
      <c r="N39" s="317">
        <f t="shared" si="6"/>
        <v>47697.375</v>
      </c>
      <c r="O39" s="317">
        <f t="shared" si="7"/>
        <v>64171.8</v>
      </c>
      <c r="P39" s="317">
        <f t="shared" si="8"/>
        <v>77754.6</v>
      </c>
      <c r="Q39" s="317">
        <f t="shared" si="9"/>
        <v>88634.7</v>
      </c>
      <c r="R39" s="317">
        <f t="shared" si="10"/>
        <v>105890.4</v>
      </c>
    </row>
    <row r="40" spans="1:18" ht="12.75">
      <c r="A40" s="322">
        <v>30000</v>
      </c>
      <c r="B40" s="323">
        <v>1.1</v>
      </c>
      <c r="C40" s="323">
        <v>1.22</v>
      </c>
      <c r="D40" s="323">
        <v>1.35</v>
      </c>
      <c r="E40" s="323">
        <v>1.47</v>
      </c>
      <c r="F40" s="323">
        <v>1.61</v>
      </c>
      <c r="G40" s="321">
        <f t="shared" si="11"/>
        <v>33</v>
      </c>
      <c r="H40" s="317">
        <f t="shared" si="0"/>
        <v>6088.5</v>
      </c>
      <c r="I40" s="317">
        <f t="shared" si="1"/>
        <v>14713.2</v>
      </c>
      <c r="J40" s="317">
        <f t="shared" si="2"/>
        <v>26547.75</v>
      </c>
      <c r="K40" s="317">
        <f t="shared" si="3"/>
        <v>30253.5</v>
      </c>
      <c r="L40" s="317">
        <f t="shared" si="4"/>
        <v>37110.15</v>
      </c>
      <c r="M40" s="317">
        <f t="shared" si="5"/>
        <v>41145.3</v>
      </c>
      <c r="N40" s="317">
        <f t="shared" si="6"/>
        <v>49347.9</v>
      </c>
      <c r="O40" s="317">
        <f t="shared" si="7"/>
        <v>67088.7</v>
      </c>
      <c r="P40" s="317">
        <f t="shared" si="8"/>
        <v>81288.9</v>
      </c>
      <c r="Q40" s="317">
        <f t="shared" si="9"/>
        <v>92663.55</v>
      </c>
      <c r="R40" s="317">
        <f t="shared" si="10"/>
        <v>110703.6</v>
      </c>
    </row>
    <row r="41" spans="1:18" ht="12.75">
      <c r="A41" s="322">
        <v>32500</v>
      </c>
      <c r="B41" s="323">
        <v>1.05</v>
      </c>
      <c r="C41" s="323">
        <v>1.18</v>
      </c>
      <c r="D41" s="323">
        <v>1.31</v>
      </c>
      <c r="E41" s="323">
        <v>1.44</v>
      </c>
      <c r="F41" s="323">
        <v>1.57</v>
      </c>
      <c r="G41" s="321">
        <f t="shared" si="11"/>
        <v>34</v>
      </c>
      <c r="H41" s="317">
        <f t="shared" si="0"/>
        <v>6296.0625</v>
      </c>
      <c r="I41" s="317">
        <f t="shared" si="1"/>
        <v>15416.7</v>
      </c>
      <c r="J41" s="317">
        <f t="shared" si="2"/>
        <v>27907.9125</v>
      </c>
      <c r="K41" s="317">
        <f t="shared" si="3"/>
        <v>31803.525</v>
      </c>
      <c r="L41" s="317">
        <f t="shared" si="4"/>
        <v>39382.2</v>
      </c>
      <c r="M41" s="317">
        <f t="shared" si="5"/>
        <v>43664.4</v>
      </c>
      <c r="N41" s="317">
        <f t="shared" si="6"/>
        <v>52369.2</v>
      </c>
      <c r="O41" s="317">
        <f t="shared" si="7"/>
        <v>70873.725</v>
      </c>
      <c r="P41" s="317">
        <f t="shared" si="8"/>
        <v>85875.075</v>
      </c>
      <c r="Q41" s="317">
        <f t="shared" si="9"/>
        <v>97891.4625</v>
      </c>
      <c r="R41" s="317">
        <f t="shared" si="10"/>
        <v>116949.3</v>
      </c>
    </row>
    <row r="42" spans="1:18" ht="12.75">
      <c r="A42" s="322">
        <v>35000</v>
      </c>
      <c r="B42" s="323">
        <v>1.01</v>
      </c>
      <c r="C42" s="323">
        <v>1.14</v>
      </c>
      <c r="D42" s="323">
        <v>1.26</v>
      </c>
      <c r="E42" s="323">
        <v>1.39</v>
      </c>
      <c r="F42" s="323">
        <v>1.51</v>
      </c>
      <c r="G42" s="321">
        <f t="shared" si="11"/>
        <v>35</v>
      </c>
      <c r="H42" s="317">
        <f t="shared" si="0"/>
        <v>6522.075</v>
      </c>
      <c r="I42" s="317">
        <f t="shared" si="1"/>
        <v>16039.8</v>
      </c>
      <c r="J42" s="317">
        <f t="shared" si="2"/>
        <v>28907.55</v>
      </c>
      <c r="K42" s="317">
        <f t="shared" si="3"/>
        <v>32942.7</v>
      </c>
      <c r="L42" s="317">
        <f t="shared" si="4"/>
        <v>40938.975</v>
      </c>
      <c r="M42" s="317">
        <f t="shared" si="5"/>
        <v>45390.45</v>
      </c>
      <c r="N42" s="317">
        <f t="shared" si="6"/>
        <v>54439.35</v>
      </c>
      <c r="O42" s="317">
        <f t="shared" si="7"/>
        <v>73408.65</v>
      </c>
      <c r="P42" s="317">
        <f t="shared" si="8"/>
        <v>88946.55</v>
      </c>
      <c r="Q42" s="317">
        <f t="shared" si="9"/>
        <v>101392.725</v>
      </c>
      <c r="R42" s="317">
        <f t="shared" si="10"/>
        <v>121132.2</v>
      </c>
    </row>
    <row r="43" spans="1:18" ht="12.75">
      <c r="A43" s="322">
        <v>37500</v>
      </c>
      <c r="B43" s="323">
        <v>0.98</v>
      </c>
      <c r="C43" s="323">
        <v>1.1</v>
      </c>
      <c r="D43" s="323">
        <v>1.22</v>
      </c>
      <c r="E43" s="323">
        <v>1.34</v>
      </c>
      <c r="F43" s="323">
        <v>1.46</v>
      </c>
      <c r="G43" s="321">
        <f t="shared" si="11"/>
        <v>36</v>
      </c>
      <c r="H43" s="317">
        <f t="shared" si="0"/>
        <v>6780.375</v>
      </c>
      <c r="I43" s="317">
        <f t="shared" si="1"/>
        <v>16582.5</v>
      </c>
      <c r="J43" s="317">
        <f t="shared" si="2"/>
        <v>29989.125</v>
      </c>
      <c r="K43" s="317">
        <f t="shared" si="3"/>
        <v>34175.25</v>
      </c>
      <c r="L43" s="317">
        <f t="shared" si="4"/>
        <v>42285.375</v>
      </c>
      <c r="M43" s="317">
        <f t="shared" si="5"/>
        <v>46883.25</v>
      </c>
      <c r="N43" s="317">
        <f t="shared" si="6"/>
        <v>56229.75</v>
      </c>
      <c r="O43" s="317">
        <f t="shared" si="7"/>
        <v>76047.75</v>
      </c>
      <c r="P43" s="317">
        <f t="shared" si="8"/>
        <v>92144.25</v>
      </c>
      <c r="Q43" s="317">
        <f t="shared" si="9"/>
        <v>105037.875</v>
      </c>
      <c r="R43" s="317">
        <f t="shared" si="10"/>
        <v>125487</v>
      </c>
    </row>
    <row r="44" spans="1:18" ht="12.75">
      <c r="A44" s="322">
        <v>40000</v>
      </c>
      <c r="B44" s="323">
        <v>0.95</v>
      </c>
      <c r="C44" s="323">
        <v>1.07</v>
      </c>
      <c r="D44" s="323">
        <v>1.18</v>
      </c>
      <c r="E44" s="323">
        <v>1.3</v>
      </c>
      <c r="F44" s="323">
        <v>1.41</v>
      </c>
      <c r="G44" s="321">
        <f t="shared" si="11"/>
        <v>37</v>
      </c>
      <c r="H44" s="317">
        <f t="shared" si="0"/>
        <v>7011</v>
      </c>
      <c r="I44" s="317">
        <f t="shared" si="1"/>
        <v>17205.6</v>
      </c>
      <c r="J44" s="317">
        <f t="shared" si="2"/>
        <v>30939.6</v>
      </c>
      <c r="K44" s="317">
        <f t="shared" si="3"/>
        <v>35258.4</v>
      </c>
      <c r="L44" s="317">
        <f t="shared" si="4"/>
        <v>43758</v>
      </c>
      <c r="M44" s="317">
        <f t="shared" si="5"/>
        <v>48516</v>
      </c>
      <c r="N44" s="317">
        <f t="shared" si="6"/>
        <v>58188</v>
      </c>
      <c r="O44" s="317">
        <f t="shared" si="7"/>
        <v>78339.6</v>
      </c>
      <c r="P44" s="317">
        <f t="shared" si="8"/>
        <v>94921.2</v>
      </c>
      <c r="Q44" s="317">
        <f t="shared" si="9"/>
        <v>108203.4</v>
      </c>
      <c r="R44" s="317">
        <f t="shared" si="10"/>
        <v>129268.8</v>
      </c>
    </row>
    <row r="45" spans="1:18" ht="12.75">
      <c r="A45" s="322">
        <v>42500</v>
      </c>
      <c r="B45" s="323">
        <v>0.92</v>
      </c>
      <c r="C45" s="323">
        <v>1.04</v>
      </c>
      <c r="D45" s="323">
        <v>1.15</v>
      </c>
      <c r="E45" s="323">
        <v>1.26</v>
      </c>
      <c r="F45" s="323">
        <v>1.37</v>
      </c>
      <c r="G45" s="321">
        <f t="shared" si="11"/>
        <v>38</v>
      </c>
      <c r="H45" s="317">
        <f t="shared" si="0"/>
        <v>7213.95</v>
      </c>
      <c r="I45" s="317">
        <f t="shared" si="1"/>
        <v>17768.4</v>
      </c>
      <c r="J45" s="317">
        <f t="shared" si="2"/>
        <v>32037.562499999996</v>
      </c>
      <c r="K45" s="317">
        <f t="shared" si="3"/>
        <v>36509.62499999999</v>
      </c>
      <c r="L45" s="317">
        <f t="shared" si="4"/>
        <v>45062.325</v>
      </c>
      <c r="M45" s="317">
        <f t="shared" si="5"/>
        <v>49962.15</v>
      </c>
      <c r="N45" s="317">
        <f t="shared" si="6"/>
        <v>59922.45</v>
      </c>
      <c r="O45" s="317">
        <f t="shared" si="7"/>
        <v>80874.52500000001</v>
      </c>
      <c r="P45" s="317">
        <f t="shared" si="8"/>
        <v>97992.675</v>
      </c>
      <c r="Q45" s="317">
        <f t="shared" si="9"/>
        <v>111704.66250000002</v>
      </c>
      <c r="R45" s="317">
        <f t="shared" si="10"/>
        <v>133451.7</v>
      </c>
    </row>
    <row r="46" spans="1:18" ht="12.75">
      <c r="A46" s="322">
        <v>45000</v>
      </c>
      <c r="B46" s="323">
        <v>0.89</v>
      </c>
      <c r="C46" s="323">
        <v>1.01</v>
      </c>
      <c r="D46" s="323">
        <v>1.11</v>
      </c>
      <c r="E46" s="323">
        <v>1.23</v>
      </c>
      <c r="F46" s="323">
        <v>1.33</v>
      </c>
      <c r="G46" s="321">
        <f t="shared" si="11"/>
        <v>39</v>
      </c>
      <c r="H46" s="317">
        <f t="shared" si="0"/>
        <v>7389.225</v>
      </c>
      <c r="I46" s="317">
        <f t="shared" si="1"/>
        <v>18270.9</v>
      </c>
      <c r="J46" s="317">
        <f t="shared" si="2"/>
        <v>32742.225000000006</v>
      </c>
      <c r="K46" s="317">
        <f t="shared" si="3"/>
        <v>37312.65</v>
      </c>
      <c r="L46" s="317">
        <f t="shared" si="4"/>
        <v>46577.025</v>
      </c>
      <c r="M46" s="317">
        <f t="shared" si="5"/>
        <v>51641.55</v>
      </c>
      <c r="N46" s="317">
        <f t="shared" si="6"/>
        <v>61936.65</v>
      </c>
      <c r="O46" s="317">
        <f t="shared" si="7"/>
        <v>83131.65</v>
      </c>
      <c r="P46" s="317">
        <f t="shared" si="8"/>
        <v>100727.55</v>
      </c>
      <c r="Q46" s="317">
        <f t="shared" si="9"/>
        <v>114822.225</v>
      </c>
      <c r="R46" s="317">
        <f t="shared" si="10"/>
        <v>137176.2</v>
      </c>
    </row>
    <row r="47" spans="1:18" ht="12.75">
      <c r="A47" s="322">
        <v>47500</v>
      </c>
      <c r="B47" s="323">
        <v>0.87</v>
      </c>
      <c r="C47" s="323">
        <v>0.98</v>
      </c>
      <c r="D47" s="323">
        <v>1.08</v>
      </c>
      <c r="E47" s="323">
        <v>1.19</v>
      </c>
      <c r="F47" s="323">
        <v>1.3</v>
      </c>
      <c r="G47" s="321">
        <f t="shared" si="11"/>
        <v>40</v>
      </c>
      <c r="H47" s="317">
        <f t="shared" si="0"/>
        <v>7624.4625</v>
      </c>
      <c r="I47" s="317">
        <f t="shared" si="1"/>
        <v>18713.1</v>
      </c>
      <c r="J47" s="317">
        <f t="shared" si="2"/>
        <v>33627.15</v>
      </c>
      <c r="K47" s="317">
        <f t="shared" si="3"/>
        <v>38321.1</v>
      </c>
      <c r="L47" s="317">
        <f t="shared" si="4"/>
        <v>47565.7875</v>
      </c>
      <c r="M47" s="317">
        <f t="shared" si="5"/>
        <v>52737.825</v>
      </c>
      <c r="N47" s="317">
        <f t="shared" si="6"/>
        <v>63251.475</v>
      </c>
      <c r="O47" s="317">
        <f t="shared" si="7"/>
        <v>85770.75</v>
      </c>
      <c r="P47" s="317">
        <f t="shared" si="8"/>
        <v>103925.25</v>
      </c>
      <c r="Q47" s="317">
        <f t="shared" si="9"/>
        <v>118467.375</v>
      </c>
      <c r="R47" s="317">
        <f t="shared" si="10"/>
        <v>141531</v>
      </c>
    </row>
    <row r="48" spans="1:18" ht="12.75">
      <c r="A48" s="322">
        <v>50000</v>
      </c>
      <c r="B48" s="323">
        <v>0.85</v>
      </c>
      <c r="C48" s="323">
        <v>0.96</v>
      </c>
      <c r="D48" s="323">
        <v>1.05</v>
      </c>
      <c r="E48" s="323">
        <v>1.16</v>
      </c>
      <c r="F48" s="323">
        <v>1.26</v>
      </c>
      <c r="G48" s="321">
        <f t="shared" si="11"/>
        <v>41</v>
      </c>
      <c r="H48" s="317">
        <f t="shared" si="0"/>
        <v>7841.25</v>
      </c>
      <c r="I48" s="317">
        <f t="shared" si="1"/>
        <v>19296</v>
      </c>
      <c r="J48" s="317">
        <f t="shared" si="2"/>
        <v>34413.75</v>
      </c>
      <c r="K48" s="317">
        <f t="shared" si="3"/>
        <v>39217.5</v>
      </c>
      <c r="L48" s="317">
        <f t="shared" si="4"/>
        <v>48806.99999999999</v>
      </c>
      <c r="M48" s="317">
        <f t="shared" si="5"/>
        <v>54113.99999999999</v>
      </c>
      <c r="N48" s="317">
        <f t="shared" si="6"/>
        <v>64901.99999999999</v>
      </c>
      <c r="O48" s="317">
        <f t="shared" si="7"/>
        <v>87507</v>
      </c>
      <c r="P48" s="317">
        <f t="shared" si="8"/>
        <v>106029</v>
      </c>
      <c r="Q48" s="317">
        <f t="shared" si="9"/>
        <v>120865.5</v>
      </c>
      <c r="R48" s="317">
        <f t="shared" si="10"/>
        <v>144396</v>
      </c>
    </row>
    <row r="49" spans="1:18" ht="12.75">
      <c r="A49" s="322">
        <v>55000</v>
      </c>
      <c r="B49" s="323">
        <v>0.81</v>
      </c>
      <c r="C49" s="323">
        <v>0.91</v>
      </c>
      <c r="D49" s="323">
        <v>1</v>
      </c>
      <c r="E49" s="323">
        <v>1.11</v>
      </c>
      <c r="F49" s="323">
        <v>1.2</v>
      </c>
      <c r="G49" s="321">
        <f t="shared" si="11"/>
        <v>42</v>
      </c>
      <c r="H49" s="317">
        <f t="shared" si="0"/>
        <v>8219.475</v>
      </c>
      <c r="I49" s="317">
        <f t="shared" si="1"/>
        <v>20120.1</v>
      </c>
      <c r="J49" s="317">
        <f t="shared" si="2"/>
        <v>36052.5</v>
      </c>
      <c r="K49" s="317">
        <f t="shared" si="3"/>
        <v>41085</v>
      </c>
      <c r="L49" s="317">
        <f t="shared" si="4"/>
        <v>51373.57500000001</v>
      </c>
      <c r="M49" s="317">
        <f t="shared" si="5"/>
        <v>56959.65000000001</v>
      </c>
      <c r="N49" s="317">
        <f t="shared" si="6"/>
        <v>68314.95000000001</v>
      </c>
      <c r="O49" s="317">
        <f t="shared" si="7"/>
        <v>91674</v>
      </c>
      <c r="P49" s="317">
        <f t="shared" si="8"/>
        <v>111078</v>
      </c>
      <c r="Q49" s="317">
        <f t="shared" si="9"/>
        <v>126621</v>
      </c>
      <c r="R49" s="317">
        <f t="shared" si="10"/>
        <v>151272</v>
      </c>
    </row>
    <row r="50" spans="1:18" ht="12.75">
      <c r="A50" s="322">
        <v>60000</v>
      </c>
      <c r="B50" s="323">
        <v>0.77</v>
      </c>
      <c r="C50" s="323">
        <v>0.87</v>
      </c>
      <c r="D50" s="323">
        <v>0.96</v>
      </c>
      <c r="E50" s="323">
        <v>1.05</v>
      </c>
      <c r="F50" s="323">
        <v>1.15</v>
      </c>
      <c r="G50" s="321">
        <f t="shared" si="11"/>
        <v>43</v>
      </c>
      <c r="H50" s="317">
        <f t="shared" si="0"/>
        <v>8523.9</v>
      </c>
      <c r="I50" s="317">
        <f t="shared" si="1"/>
        <v>20984.4</v>
      </c>
      <c r="J50" s="317">
        <f t="shared" si="2"/>
        <v>37756.8</v>
      </c>
      <c r="K50" s="317">
        <f t="shared" si="3"/>
        <v>43027.2</v>
      </c>
      <c r="L50" s="317">
        <f t="shared" si="4"/>
        <v>53014.5</v>
      </c>
      <c r="M50" s="317">
        <f t="shared" si="5"/>
        <v>58779</v>
      </c>
      <c r="N50" s="317">
        <f t="shared" si="6"/>
        <v>70497</v>
      </c>
      <c r="O50" s="317">
        <f t="shared" si="7"/>
        <v>95841</v>
      </c>
      <c r="P50" s="317">
        <f t="shared" si="8"/>
        <v>116127</v>
      </c>
      <c r="Q50" s="317">
        <f t="shared" si="9"/>
        <v>132376.5</v>
      </c>
      <c r="R50" s="317">
        <f t="shared" si="10"/>
        <v>158148</v>
      </c>
    </row>
    <row r="51" spans="1:18" ht="12.75">
      <c r="A51" s="322">
        <v>65000</v>
      </c>
      <c r="B51" s="323">
        <v>0.74</v>
      </c>
      <c r="C51" s="323">
        <v>0.84</v>
      </c>
      <c r="D51" s="323">
        <v>0.93</v>
      </c>
      <c r="E51" s="323">
        <v>1.02</v>
      </c>
      <c r="F51" s="323">
        <v>1.11</v>
      </c>
      <c r="G51" s="321">
        <f t="shared" si="11"/>
        <v>44</v>
      </c>
      <c r="H51" s="317">
        <f t="shared" si="0"/>
        <v>8874.45</v>
      </c>
      <c r="I51" s="317">
        <f t="shared" si="1"/>
        <v>21949.2</v>
      </c>
      <c r="J51" s="317">
        <f t="shared" si="2"/>
        <v>39624.975</v>
      </c>
      <c r="K51" s="317">
        <f t="shared" si="3"/>
        <v>45156.15</v>
      </c>
      <c r="L51" s="317">
        <f t="shared" si="4"/>
        <v>55791.45</v>
      </c>
      <c r="M51" s="317">
        <f t="shared" si="5"/>
        <v>61857.9</v>
      </c>
      <c r="N51" s="317">
        <f t="shared" si="6"/>
        <v>74189.7</v>
      </c>
      <c r="O51" s="317">
        <f t="shared" si="7"/>
        <v>100216.35</v>
      </c>
      <c r="P51" s="317">
        <f t="shared" si="8"/>
        <v>121428.45</v>
      </c>
      <c r="Q51" s="317">
        <f t="shared" si="9"/>
        <v>138419.775</v>
      </c>
      <c r="R51" s="317">
        <f t="shared" si="10"/>
        <v>165367.8</v>
      </c>
    </row>
    <row r="52" spans="1:18" ht="12.75">
      <c r="A52" s="322">
        <v>70000</v>
      </c>
      <c r="B52" s="323">
        <v>0.72</v>
      </c>
      <c r="C52" s="323">
        <v>0.81</v>
      </c>
      <c r="D52" s="323">
        <v>0.89</v>
      </c>
      <c r="E52" s="323">
        <v>0.98</v>
      </c>
      <c r="F52" s="323">
        <v>1.07</v>
      </c>
      <c r="G52" s="321">
        <f t="shared" si="11"/>
        <v>45</v>
      </c>
      <c r="H52" s="317">
        <f t="shared" si="0"/>
        <v>9298.8</v>
      </c>
      <c r="I52" s="317">
        <f t="shared" si="1"/>
        <v>22793.4</v>
      </c>
      <c r="J52" s="317">
        <f t="shared" si="2"/>
        <v>40837.65</v>
      </c>
      <c r="K52" s="317">
        <f t="shared" si="3"/>
        <v>46538.1</v>
      </c>
      <c r="L52" s="317">
        <f t="shared" si="4"/>
        <v>57726.9</v>
      </c>
      <c r="M52" s="317">
        <f t="shared" si="5"/>
        <v>64003.8</v>
      </c>
      <c r="N52" s="317">
        <f t="shared" si="6"/>
        <v>76763.4</v>
      </c>
      <c r="O52" s="317">
        <f t="shared" si="7"/>
        <v>104036.1</v>
      </c>
      <c r="P52" s="317">
        <f t="shared" si="8"/>
        <v>126056.7</v>
      </c>
      <c r="Q52" s="317">
        <f t="shared" si="9"/>
        <v>143695.65</v>
      </c>
      <c r="R52" s="317">
        <f t="shared" si="10"/>
        <v>171670.8</v>
      </c>
    </row>
    <row r="53" spans="1:18" ht="12.75">
      <c r="A53" s="322">
        <v>75000</v>
      </c>
      <c r="B53" s="323">
        <v>0.69</v>
      </c>
      <c r="C53" s="323">
        <v>0.78</v>
      </c>
      <c r="D53" s="323">
        <v>0.86</v>
      </c>
      <c r="E53" s="323">
        <v>0.95</v>
      </c>
      <c r="F53" s="323">
        <v>1.03</v>
      </c>
      <c r="G53" s="321">
        <f t="shared" si="11"/>
        <v>46</v>
      </c>
      <c r="H53" s="317">
        <f t="shared" si="0"/>
        <v>9547.874999999998</v>
      </c>
      <c r="I53" s="317">
        <f t="shared" si="1"/>
        <v>23517</v>
      </c>
      <c r="J53" s="317">
        <f t="shared" si="2"/>
        <v>42279.75</v>
      </c>
      <c r="K53" s="317">
        <f t="shared" si="3"/>
        <v>48181.5</v>
      </c>
      <c r="L53" s="317">
        <f t="shared" si="4"/>
        <v>59956.875</v>
      </c>
      <c r="M53" s="317">
        <f t="shared" si="5"/>
        <v>66476.25</v>
      </c>
      <c r="N53" s="317">
        <f t="shared" si="6"/>
        <v>79728.75</v>
      </c>
      <c r="O53" s="317">
        <f t="shared" si="7"/>
        <v>107300.25</v>
      </c>
      <c r="P53" s="317">
        <f t="shared" si="8"/>
        <v>130011.75</v>
      </c>
      <c r="Q53" s="317">
        <f t="shared" si="9"/>
        <v>148204.125</v>
      </c>
      <c r="R53" s="317">
        <f t="shared" si="10"/>
        <v>177057</v>
      </c>
    </row>
    <row r="54" spans="1:18" ht="12.75">
      <c r="A54" s="322">
        <v>80000</v>
      </c>
      <c r="B54" s="323">
        <v>0.67</v>
      </c>
      <c r="C54" s="323">
        <v>0.75</v>
      </c>
      <c r="D54" s="323">
        <v>0.83</v>
      </c>
      <c r="E54" s="323">
        <v>0.92</v>
      </c>
      <c r="F54" s="323">
        <v>1</v>
      </c>
      <c r="G54" s="321">
        <f t="shared" si="11"/>
        <v>47</v>
      </c>
      <c r="H54" s="317">
        <f t="shared" si="0"/>
        <v>9889.2</v>
      </c>
      <c r="I54" s="317">
        <f t="shared" si="1"/>
        <v>24120</v>
      </c>
      <c r="J54" s="317">
        <f t="shared" si="2"/>
        <v>43525.2</v>
      </c>
      <c r="K54" s="317">
        <f t="shared" si="3"/>
        <v>49600.8</v>
      </c>
      <c r="L54" s="317">
        <f t="shared" si="4"/>
        <v>61934.4</v>
      </c>
      <c r="M54" s="317">
        <f t="shared" si="5"/>
        <v>68668.8</v>
      </c>
      <c r="N54" s="317">
        <f t="shared" si="6"/>
        <v>82358.4</v>
      </c>
      <c r="O54" s="317">
        <f t="shared" si="7"/>
        <v>111120</v>
      </c>
      <c r="P54" s="317">
        <f t="shared" si="8"/>
        <v>134640</v>
      </c>
      <c r="Q54" s="317">
        <f t="shared" si="9"/>
        <v>153480</v>
      </c>
      <c r="R54" s="317">
        <f t="shared" si="10"/>
        <v>183360</v>
      </c>
    </row>
    <row r="55" spans="1:18" ht="12.75" hidden="1">
      <c r="A55" s="324">
        <f>IF(HESAPLAR!$F$2&gt;=80000,100+HESAPLAR!$F$2,80000+100)</f>
        <v>80100</v>
      </c>
      <c r="B55" s="323">
        <v>0.67</v>
      </c>
      <c r="C55" s="323">
        <v>0.75</v>
      </c>
      <c r="D55" s="323">
        <v>0.83</v>
      </c>
      <c r="E55" s="323">
        <v>0.92</v>
      </c>
      <c r="F55" s="323">
        <v>1</v>
      </c>
      <c r="G55" s="321">
        <f t="shared" si="11"/>
        <v>48</v>
      </c>
      <c r="H55" s="317">
        <f t="shared" si="0"/>
        <v>9901.5615</v>
      </c>
      <c r="I55" s="317">
        <f t="shared" si="1"/>
        <v>24150.15</v>
      </c>
      <c r="J55" s="317">
        <f t="shared" si="2"/>
        <v>43579.606499999994</v>
      </c>
      <c r="K55" s="317">
        <f t="shared" si="3"/>
        <v>49662.801</v>
      </c>
      <c r="L55" s="317">
        <f t="shared" si="4"/>
        <v>62011.818</v>
      </c>
      <c r="M55" s="317">
        <f t="shared" si="5"/>
        <v>68754.636</v>
      </c>
      <c r="N55" s="317">
        <f t="shared" si="6"/>
        <v>82461.348</v>
      </c>
      <c r="O55" s="317">
        <f t="shared" si="7"/>
        <v>111258.9</v>
      </c>
      <c r="P55" s="317">
        <f t="shared" si="8"/>
        <v>134808.3</v>
      </c>
      <c r="Q55" s="317">
        <f t="shared" si="9"/>
        <v>153671.85</v>
      </c>
      <c r="R55" s="317">
        <f t="shared" si="10"/>
        <v>183589.2</v>
      </c>
    </row>
    <row r="56" spans="1:18" ht="8.25" customHeight="1">
      <c r="A56" s="324"/>
      <c r="B56" s="285"/>
      <c r="C56" s="285"/>
      <c r="D56" s="285"/>
      <c r="E56" s="285"/>
      <c r="F56" s="285"/>
      <c r="G56" s="325"/>
      <c r="H56" s="324"/>
      <c r="I56" s="324"/>
      <c r="J56" s="324"/>
      <c r="K56" s="324"/>
      <c r="L56" s="324"/>
      <c r="M56" s="326"/>
      <c r="N56" s="326"/>
      <c r="O56" s="326"/>
      <c r="P56" s="326"/>
      <c r="Q56" s="326"/>
      <c r="R56" s="326"/>
    </row>
    <row r="57" spans="1:18" ht="12.75">
      <c r="A57" s="327" t="s">
        <v>25</v>
      </c>
      <c r="B57" s="301"/>
      <c r="C57" s="301"/>
      <c r="D57" s="1"/>
      <c r="E57" s="301"/>
      <c r="F57" s="301"/>
      <c r="G57" s="328"/>
      <c r="H57" s="1"/>
      <c r="I57" s="1"/>
      <c r="J57" s="300">
        <f>VERİLER!$L$9</f>
        <v>0.6</v>
      </c>
      <c r="K57" s="324"/>
      <c r="L57" s="324"/>
      <c r="M57" s="326"/>
      <c r="N57" s="326"/>
      <c r="O57" s="326"/>
      <c r="P57" s="326"/>
      <c r="Q57" s="326"/>
      <c r="R57" s="326"/>
    </row>
    <row r="58" spans="1:18" ht="12.75">
      <c r="A58" s="327" t="s">
        <v>26</v>
      </c>
      <c r="B58" s="301"/>
      <c r="C58" s="301"/>
      <c r="D58" s="1"/>
      <c r="E58" s="301"/>
      <c r="F58" s="301"/>
      <c r="G58" s="328"/>
      <c r="H58" s="1"/>
      <c r="I58" s="1"/>
      <c r="J58" s="301">
        <v>0.5</v>
      </c>
      <c r="K58" s="324"/>
      <c r="L58" s="324"/>
      <c r="M58" s="324"/>
      <c r="N58" s="324"/>
      <c r="O58" s="324"/>
      <c r="P58" s="1"/>
      <c r="Q58" s="1"/>
      <c r="R58" s="1"/>
    </row>
    <row r="59" spans="1:18" ht="15.75">
      <c r="A59" s="327" t="s">
        <v>27</v>
      </c>
      <c r="B59" s="301"/>
      <c r="C59" s="301"/>
      <c r="D59" s="1"/>
      <c r="E59" s="301"/>
      <c r="F59" s="301"/>
      <c r="G59" s="328"/>
      <c r="H59" s="1"/>
      <c r="I59" s="1"/>
      <c r="J59" s="301">
        <v>1</v>
      </c>
      <c r="K59" s="324"/>
      <c r="L59" s="324"/>
      <c r="M59" s="295"/>
      <c r="N59" s="295"/>
      <c r="O59" s="295"/>
      <c r="P59" s="295"/>
      <c r="Q59" s="1"/>
      <c r="R59" s="1"/>
    </row>
    <row r="60" spans="1:18" ht="12.75">
      <c r="A60" s="327" t="s">
        <v>28</v>
      </c>
      <c r="B60" s="301"/>
      <c r="C60" s="301"/>
      <c r="D60" s="1"/>
      <c r="E60" s="301"/>
      <c r="F60" s="301"/>
      <c r="G60" s="328"/>
      <c r="H60" s="1"/>
      <c r="I60" s="1"/>
      <c r="J60" s="301">
        <v>0.5</v>
      </c>
      <c r="K60" s="324"/>
      <c r="L60" s="324"/>
      <c r="M60" s="467" t="s">
        <v>43</v>
      </c>
      <c r="N60" s="467"/>
      <c r="O60" s="467"/>
      <c r="P60" s="468">
        <f>IF($Q$63=2,$Q$64,IF($Q$63=3,$Q$65,IF(Q63=4,Q66,0)))</f>
        <v>465</v>
      </c>
      <c r="Q60" s="468"/>
      <c r="R60" s="1"/>
    </row>
    <row r="61" spans="1:18" ht="12" customHeight="1">
      <c r="A61" s="327"/>
      <c r="B61" s="301"/>
      <c r="C61" s="301"/>
      <c r="D61" s="1"/>
      <c r="E61" s="301"/>
      <c r="F61" s="301"/>
      <c r="G61" s="328"/>
      <c r="H61" s="1"/>
      <c r="I61" s="301"/>
      <c r="J61" s="324"/>
      <c r="K61" s="324"/>
      <c r="L61" s="324"/>
      <c r="M61" s="324"/>
      <c r="N61" s="324"/>
      <c r="O61" s="324"/>
      <c r="P61" s="324"/>
      <c r="Q61" s="1"/>
      <c r="R61" s="1"/>
    </row>
    <row r="62" spans="1:18" ht="12.75">
      <c r="A62" s="329" t="s">
        <v>44</v>
      </c>
      <c r="B62" s="301"/>
      <c r="C62" s="301"/>
      <c r="D62" s="301"/>
      <c r="E62" s="301"/>
      <c r="F62" s="301"/>
      <c r="G62" s="328"/>
      <c r="H62" s="1"/>
      <c r="I62" s="1"/>
      <c r="J62" s="1"/>
      <c r="K62" s="1"/>
      <c r="L62" s="1"/>
      <c r="M62" s="467" t="s">
        <v>75</v>
      </c>
      <c r="N62" s="467"/>
      <c r="O62" s="467"/>
      <c r="P62" s="332">
        <f>VERİLER!$L$5</f>
        <v>150</v>
      </c>
      <c r="Q62" s="286" t="s">
        <v>3</v>
      </c>
      <c r="R62" s="1"/>
    </row>
    <row r="63" spans="1:19" ht="12.75">
      <c r="A63" s="327" t="s">
        <v>29</v>
      </c>
      <c r="B63" s="301"/>
      <c r="C63" s="301"/>
      <c r="D63" s="301"/>
      <c r="E63" s="301"/>
      <c r="F63" s="301"/>
      <c r="G63" s="328"/>
      <c r="H63" s="1"/>
      <c r="I63" s="1"/>
      <c r="J63" s="1"/>
      <c r="K63" s="330">
        <v>1</v>
      </c>
      <c r="L63" s="331"/>
      <c r="M63" s="329"/>
      <c r="N63" s="1"/>
      <c r="O63" s="1"/>
      <c r="P63" s="330"/>
      <c r="Q63" s="293">
        <f>'ANA SAYFA'!I103</f>
        <v>2</v>
      </c>
      <c r="R63" s="1"/>
      <c r="S63" s="292"/>
    </row>
    <row r="64" spans="1:20" ht="15.75">
      <c r="A64" s="327" t="s">
        <v>39</v>
      </c>
      <c r="B64" s="301"/>
      <c r="C64" s="301"/>
      <c r="D64" s="301"/>
      <c r="E64" s="301"/>
      <c r="F64" s="301"/>
      <c r="G64" s="328"/>
      <c r="H64" s="1"/>
      <c r="I64" s="1"/>
      <c r="J64" s="1"/>
      <c r="K64" s="330">
        <v>0.5</v>
      </c>
      <c r="L64" s="330"/>
      <c r="M64" s="294" t="s">
        <v>99</v>
      </c>
      <c r="N64" s="295"/>
      <c r="O64" s="295"/>
      <c r="P64" s="295"/>
      <c r="Q64" s="333">
        <f>VERİLER!$N$73</f>
        <v>465</v>
      </c>
      <c r="R64" s="301"/>
      <c r="S64" s="291"/>
      <c r="T64" s="292"/>
    </row>
    <row r="65" spans="1:20" ht="15.75">
      <c r="A65" s="327" t="s">
        <v>40</v>
      </c>
      <c r="B65" s="301"/>
      <c r="C65" s="301"/>
      <c r="D65" s="301"/>
      <c r="E65" s="301"/>
      <c r="F65" s="301"/>
      <c r="G65" s="328"/>
      <c r="H65" s="1"/>
      <c r="I65" s="1"/>
      <c r="J65" s="1"/>
      <c r="K65" s="330">
        <v>0.25</v>
      </c>
      <c r="L65" s="1"/>
      <c r="M65" s="294" t="s">
        <v>100</v>
      </c>
      <c r="N65" s="295"/>
      <c r="O65" s="295"/>
      <c r="P65" s="295"/>
      <c r="Q65" s="333">
        <f>VERİLER!$N$74</f>
        <v>700</v>
      </c>
      <c r="R65" s="1"/>
      <c r="S65" s="291"/>
      <c r="T65" s="292"/>
    </row>
    <row r="66" spans="1:20" ht="15.75">
      <c r="A66" s="327" t="s">
        <v>31</v>
      </c>
      <c r="B66" s="301"/>
      <c r="C66" s="301"/>
      <c r="D66" s="301"/>
      <c r="E66" s="301"/>
      <c r="F66" s="301"/>
      <c r="G66" s="328"/>
      <c r="H66" s="1"/>
      <c r="I66" s="1"/>
      <c r="J66" s="1"/>
      <c r="K66" s="330">
        <v>0.15</v>
      </c>
      <c r="L66" s="1" t="s">
        <v>30</v>
      </c>
      <c r="M66" s="294" t="s">
        <v>101</v>
      </c>
      <c r="N66" s="295"/>
      <c r="O66" s="295"/>
      <c r="P66" s="295"/>
      <c r="Q66" s="333">
        <f>VERİLER!$N$75</f>
        <v>700</v>
      </c>
      <c r="R66" s="330"/>
      <c r="S66" s="291"/>
      <c r="T66" s="292"/>
    </row>
    <row r="67" spans="1:18" ht="12.75">
      <c r="A67" s="327"/>
      <c r="B67" s="301"/>
      <c r="C67" s="301"/>
      <c r="D67" s="301"/>
      <c r="E67" s="301"/>
      <c r="F67" s="301"/>
      <c r="G67" s="328"/>
      <c r="H67" s="1"/>
      <c r="I67" s="301"/>
      <c r="J67" s="1"/>
      <c r="K67" s="1"/>
      <c r="L67" s="1"/>
      <c r="M67" s="327"/>
      <c r="N67" s="301"/>
      <c r="O67" s="301"/>
      <c r="P67" s="301"/>
      <c r="Q67" s="330"/>
      <c r="R67" s="1"/>
    </row>
    <row r="68" spans="1:18" ht="12.75">
      <c r="A68" s="329" t="s">
        <v>45</v>
      </c>
      <c r="B68" s="334"/>
      <c r="C68" s="335"/>
      <c r="D68" s="334"/>
      <c r="E68" s="334"/>
      <c r="F68" s="336"/>
      <c r="G68" s="329" t="s">
        <v>45</v>
      </c>
      <c r="H68" s="334"/>
      <c r="I68" s="1"/>
      <c r="J68" s="1"/>
      <c r="K68" s="1"/>
      <c r="L68" s="1"/>
      <c r="M68" s="327"/>
      <c r="N68" s="1"/>
      <c r="O68" s="1"/>
      <c r="P68" s="1"/>
      <c r="Q68" s="330"/>
      <c r="R68" s="1"/>
    </row>
    <row r="69" spans="1:18" ht="12.75">
      <c r="A69" s="331" t="s">
        <v>74</v>
      </c>
      <c r="B69" s="301"/>
      <c r="C69" s="334"/>
      <c r="D69" s="335"/>
      <c r="E69" s="334"/>
      <c r="F69" s="334"/>
      <c r="G69" s="336"/>
      <c r="H69" s="335"/>
      <c r="I69" s="334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447"/>
      <c r="B70" s="334"/>
      <c r="C70" s="334"/>
      <c r="D70" s="335"/>
      <c r="E70" s="334"/>
      <c r="F70" s="334"/>
      <c r="G70" s="336"/>
      <c r="H70" s="335"/>
      <c r="I70" s="334"/>
      <c r="J70" s="1"/>
      <c r="K70" s="1"/>
      <c r="L70" s="1"/>
      <c r="M70" s="1"/>
      <c r="N70" s="1"/>
      <c r="O70" s="1"/>
      <c r="P70" s="1"/>
      <c r="Q70" s="1"/>
      <c r="R70" s="1"/>
    </row>
    <row r="71" spans="1:9" ht="18" customHeight="1">
      <c r="A71" s="299"/>
      <c r="B71" s="296"/>
      <c r="C71" s="296"/>
      <c r="D71" s="297"/>
      <c r="E71" s="296"/>
      <c r="F71" s="296"/>
      <c r="G71" s="298"/>
      <c r="H71" s="297"/>
      <c r="I71" s="296"/>
    </row>
  </sheetData>
  <sheetProtection password="AD2F" sheet="1"/>
  <mergeCells count="6">
    <mergeCell ref="M62:O62"/>
    <mergeCell ref="M60:O60"/>
    <mergeCell ref="P60:Q60"/>
    <mergeCell ref="A1:R1"/>
    <mergeCell ref="A2:R2"/>
    <mergeCell ref="A3:R3"/>
  </mergeCells>
  <printOptions/>
  <pageMargins left="0.6692913385826772" right="0.15748031496062992" top="0.47" bottom="0.36" header="0.4724409448818898" footer="0.11811023622047245"/>
  <pageSetup horizontalDpi="600" verticalDpi="600" orientation="portrait" paperSize="9" scale="85" r:id="rId1"/>
  <headerFooter alignWithMargins="0">
    <oddFooter>&amp;CSayfa  &amp;P 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149"/>
  <sheetViews>
    <sheetView showZeros="0" zoomScaleSheetLayoutView="100" workbookViewId="0" topLeftCell="A6">
      <selection activeCell="O9" sqref="O9"/>
    </sheetView>
  </sheetViews>
  <sheetFormatPr defaultColWidth="9.140625" defaultRowHeight="12.75"/>
  <cols>
    <col min="1" max="1" width="9.140625" style="398" customWidth="1"/>
    <col min="2" max="2" width="2.00390625" style="398" hidden="1" customWidth="1"/>
    <col min="3" max="3" width="16.8515625" style="398" hidden="1" customWidth="1"/>
    <col min="4" max="5" width="9.140625" style="398" hidden="1" customWidth="1"/>
    <col min="6" max="6" width="10.421875" style="398" hidden="1" customWidth="1"/>
    <col min="7" max="7" width="9.140625" style="398" hidden="1" customWidth="1"/>
    <col min="8" max="8" width="10.421875" style="398" hidden="1" customWidth="1"/>
    <col min="9" max="9" width="0.13671875" style="398" customWidth="1"/>
    <col min="10" max="10" width="23.7109375" style="398" hidden="1" customWidth="1"/>
    <col min="11" max="11" width="22.7109375" style="398" bestFit="1" customWidth="1"/>
    <col min="12" max="12" width="11.57421875" style="398" customWidth="1"/>
    <col min="13" max="15" width="9.7109375" style="398" customWidth="1"/>
    <col min="16" max="16" width="10.28125" style="398" bestFit="1" customWidth="1"/>
    <col min="17" max="19" width="9.7109375" style="398" customWidth="1"/>
    <col min="20" max="20" width="11.8515625" style="398" bestFit="1" customWidth="1"/>
    <col min="21" max="23" width="12.00390625" style="398" bestFit="1" customWidth="1"/>
    <col min="24" max="26" width="9.28125" style="398" bestFit="1" customWidth="1"/>
    <col min="27" max="27" width="9.8515625" style="398" customWidth="1"/>
    <col min="28" max="28" width="9.7109375" style="398" customWidth="1"/>
    <col min="29" max="29" width="9.140625" style="398" customWidth="1"/>
    <col min="30" max="30" width="18.8515625" style="398" customWidth="1"/>
    <col min="31" max="16384" width="9.140625" style="398" customWidth="1"/>
  </cols>
  <sheetData>
    <row r="2" spans="14:17" ht="20.25">
      <c r="N2" s="473" t="s">
        <v>221</v>
      </c>
      <c r="O2" s="474"/>
      <c r="P2" s="474"/>
      <c r="Q2" s="475"/>
    </row>
    <row r="3" ht="12.75"/>
    <row r="4" ht="9.75" customHeight="1"/>
    <row r="5" spans="11:22" ht="27" customHeight="1">
      <c r="K5" s="439" t="s">
        <v>75</v>
      </c>
      <c r="L5" s="440">
        <v>150</v>
      </c>
      <c r="M5" s="441" t="s">
        <v>3</v>
      </c>
      <c r="R5" s="428"/>
      <c r="S5" s="428"/>
      <c r="T5" s="428"/>
      <c r="U5" s="332"/>
      <c r="V5" s="286"/>
    </row>
    <row r="6" ht="12.75"/>
    <row r="7" spans="11:23" ht="21.75" customHeight="1">
      <c r="K7" s="485" t="s">
        <v>169</v>
      </c>
      <c r="L7" s="484" t="s">
        <v>10</v>
      </c>
      <c r="M7" s="481" t="s">
        <v>220</v>
      </c>
      <c r="N7" s="482"/>
      <c r="O7" s="482"/>
      <c r="P7" s="482"/>
      <c r="Q7" s="482"/>
      <c r="R7" s="482"/>
      <c r="S7" s="482"/>
      <c r="T7" s="482"/>
      <c r="U7" s="482"/>
      <c r="V7" s="482"/>
      <c r="W7" s="483"/>
    </row>
    <row r="8" spans="11:23" ht="30" customHeight="1">
      <c r="K8" s="485"/>
      <c r="L8" s="484"/>
      <c r="M8" s="430">
        <v>1</v>
      </c>
      <c r="N8" s="431">
        <v>2</v>
      </c>
      <c r="O8" s="432" t="s">
        <v>14</v>
      </c>
      <c r="P8" s="432" t="s">
        <v>15</v>
      </c>
      <c r="Q8" s="432" t="s">
        <v>16</v>
      </c>
      <c r="R8" s="432" t="s">
        <v>17</v>
      </c>
      <c r="S8" s="432" t="s">
        <v>18</v>
      </c>
      <c r="T8" s="432" t="s">
        <v>19</v>
      </c>
      <c r="U8" s="432" t="s">
        <v>20</v>
      </c>
      <c r="V8" s="432" t="s">
        <v>21</v>
      </c>
      <c r="W8" s="432" t="s">
        <v>22</v>
      </c>
    </row>
    <row r="9" spans="10:23" ht="102" customHeight="1">
      <c r="J9" s="402">
        <f>LOOKUP($K$9,$C$27:$C$70,$E$27:$E$70)</f>
        <v>2009</v>
      </c>
      <c r="K9" s="429" t="str">
        <f>$J$27</f>
        <v>2009 - 2. DÖNEM</v>
      </c>
      <c r="L9" s="433">
        <f>IF(L18=0,(CONCATENATE(K9," - ",L26," Yazınız")),L18)</f>
        <v>0.6</v>
      </c>
      <c r="M9" s="433">
        <f>IF(M18=0,(CONCATENATE($K$9," -   ",$M$17,". Yapı Sınıfı Bina Maliyetini Yazınız")),$M$18)</f>
        <v>123</v>
      </c>
      <c r="N9" s="433">
        <f>IF(N18=0,(CONCATENATE($K$9," -   ",$N$17,". Yapı Sınıfı Bina Maliyetini Yazınız")),$N$18)</f>
        <v>268</v>
      </c>
      <c r="O9" s="433">
        <f>IF(O18=0,(CONCATENATE($K$9," -   ",$O$17,". Yapı Sınıfı Bina Maliyetini Yazınız")),$O$18)</f>
        <v>437</v>
      </c>
      <c r="P9" s="433">
        <f>IF(P18=0,(CONCATENATE($K$9," -   ",$P$17,". Yapı Sınıfı Bina Maliyetini Yazınız")),$P$18)</f>
        <v>498</v>
      </c>
      <c r="Q9" s="433">
        <f>IF(Q18=0,(CONCATENATE($K$9," -   ",Q17,". Yapı Sınıfı Bina Maliyetini Yazınız")),$Q$18)</f>
        <v>561</v>
      </c>
      <c r="R9" s="433">
        <f>IF(R18=0,(CONCATENATE($K$9," -   ",$R$17,". Yapı Sınıfı Bina Maliyetini Yazınız")),$R$18)</f>
        <v>622</v>
      </c>
      <c r="S9" s="433">
        <f>IF(S18=0,(CONCATENATE($K$9," -   ",$S$17,". Yapı Sınıfı Bina Maliyetini Yazınız")),$S$18)</f>
        <v>746</v>
      </c>
      <c r="T9" s="433">
        <f>IF(T18=0,(CONCATENATE($K$9," -   ",$T$17,". Yapı Sınıfı Bina Maliyetini Yazınız")),$T$18)</f>
        <v>926</v>
      </c>
      <c r="U9" s="433">
        <f>IF(U18=0,(CONCATENATE($K$9," -   ",$U$17,". Yapı Sınıfı Bina Maliyetini Yazınız")),$U$18)</f>
        <v>1122</v>
      </c>
      <c r="V9" s="433">
        <f>IF(V18=0,(CONCATENATE($K$9," -   ",$V$17,". Yapı Sınıfı Bina Maliyetini Yazınız")),$V$18)</f>
        <v>1279</v>
      </c>
      <c r="W9" s="433">
        <f>IF(W18=0,(CONCATENATE($K$9," -   ",$W$17,". Yapı Sınıfı Bina Maliyetini Yazınız")),$W$18)</f>
        <v>1528</v>
      </c>
    </row>
    <row r="10" spans="13:23" ht="14.25" hidden="1">
      <c r="M10" s="403" t="s">
        <v>86</v>
      </c>
      <c r="N10" s="403" t="s">
        <v>86</v>
      </c>
      <c r="O10" s="403" t="s">
        <v>86</v>
      </c>
      <c r="P10" s="403" t="s">
        <v>86</v>
      </c>
      <c r="Q10" s="403" t="s">
        <v>86</v>
      </c>
      <c r="R10" s="403" t="s">
        <v>86</v>
      </c>
      <c r="S10" s="403" t="s">
        <v>86</v>
      </c>
      <c r="T10" s="403" t="s">
        <v>86</v>
      </c>
      <c r="U10" s="403" t="s">
        <v>86</v>
      </c>
      <c r="V10" s="403" t="s">
        <v>86</v>
      </c>
      <c r="W10" s="403" t="s">
        <v>86</v>
      </c>
    </row>
    <row r="11" spans="13:23" ht="14.25"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</row>
    <row r="12" spans="10:17" ht="20.25">
      <c r="J12" s="473" t="s">
        <v>219</v>
      </c>
      <c r="K12" s="474"/>
      <c r="L12" s="474"/>
      <c r="M12" s="474"/>
      <c r="N12" s="474"/>
      <c r="O12" s="474"/>
      <c r="P12" s="474"/>
      <c r="Q12" s="475"/>
    </row>
    <row r="13" spans="11:17" ht="45" customHeight="1">
      <c r="K13" s="434" t="s">
        <v>169</v>
      </c>
      <c r="L13" s="489" t="s">
        <v>99</v>
      </c>
      <c r="M13" s="490"/>
      <c r="N13" s="455" t="s">
        <v>100</v>
      </c>
      <c r="O13" s="456"/>
      <c r="P13" s="455" t="s">
        <v>101</v>
      </c>
      <c r="Q13" s="457"/>
    </row>
    <row r="14" spans="10:17" ht="72.75" customHeight="1">
      <c r="J14" s="402">
        <f>LOOKUP($K$9,$C$27:$C$70,$E$27:$E$70)</f>
        <v>2009</v>
      </c>
      <c r="K14" s="429" t="str">
        <f>$J$27</f>
        <v>2009 - 2. DÖNEM</v>
      </c>
      <c r="L14" s="435" t="s">
        <v>216</v>
      </c>
      <c r="M14" s="436" t="s">
        <v>217</v>
      </c>
      <c r="N14" s="435" t="s">
        <v>216</v>
      </c>
      <c r="O14" s="436" t="s">
        <v>217</v>
      </c>
      <c r="P14" s="435" t="s">
        <v>216</v>
      </c>
      <c r="Q14" s="436" t="s">
        <v>217</v>
      </c>
    </row>
    <row r="15" spans="11:17" ht="15.75">
      <c r="K15" s="413"/>
      <c r="L15" s="437">
        <f>$N$73</f>
        <v>465</v>
      </c>
      <c r="M15" s="438">
        <f>$O$73</f>
        <v>17</v>
      </c>
      <c r="N15" s="437">
        <f>$N$74</f>
        <v>700</v>
      </c>
      <c r="O15" s="438">
        <f>$O$74</f>
        <v>24</v>
      </c>
      <c r="P15" s="437">
        <f>$N$75</f>
        <v>700</v>
      </c>
      <c r="Q15" s="438">
        <f>$O$75</f>
        <v>24</v>
      </c>
    </row>
    <row r="16" ht="12.75" hidden="1"/>
    <row r="17" spans="11:23" ht="30" hidden="1">
      <c r="K17" s="388" t="s">
        <v>163</v>
      </c>
      <c r="L17" s="388" t="str">
        <f>$L$26</f>
        <v>Bölge Katsayısı</v>
      </c>
      <c r="M17" s="399">
        <v>1</v>
      </c>
      <c r="N17" s="400">
        <v>2</v>
      </c>
      <c r="O17" s="401" t="s">
        <v>14</v>
      </c>
      <c r="P17" s="401" t="s">
        <v>15</v>
      </c>
      <c r="Q17" s="401" t="s">
        <v>16</v>
      </c>
      <c r="R17" s="401" t="s">
        <v>17</v>
      </c>
      <c r="S17" s="401" t="s">
        <v>18</v>
      </c>
      <c r="T17" s="401" t="s">
        <v>19</v>
      </c>
      <c r="U17" s="401" t="s">
        <v>20</v>
      </c>
      <c r="V17" s="401" t="s">
        <v>21</v>
      </c>
      <c r="W17" s="401" t="s">
        <v>22</v>
      </c>
    </row>
    <row r="18" spans="11:25" ht="15" hidden="1">
      <c r="K18" s="388" t="str">
        <f>$J$27</f>
        <v>2009 - 2. DÖNEM</v>
      </c>
      <c r="L18" s="407">
        <f>LOOKUP($K$18,$C$27:$C$70,$L$27:$L$70)</f>
        <v>0.6</v>
      </c>
      <c r="M18" s="407">
        <f>LOOKUP($K$18,$C$27:$C$70,$M$27:$M$70)</f>
        <v>123</v>
      </c>
      <c r="N18" s="407">
        <f aca="true" t="shared" si="0" ref="N18:W18">LOOKUP($K$18,$C$27:$C$70,N27:N70)</f>
        <v>268</v>
      </c>
      <c r="O18" s="407">
        <f t="shared" si="0"/>
        <v>437</v>
      </c>
      <c r="P18" s="407">
        <f t="shared" si="0"/>
        <v>498</v>
      </c>
      <c r="Q18" s="407">
        <f t="shared" si="0"/>
        <v>561</v>
      </c>
      <c r="R18" s="407">
        <f t="shared" si="0"/>
        <v>622</v>
      </c>
      <c r="S18" s="407">
        <f t="shared" si="0"/>
        <v>746</v>
      </c>
      <c r="T18" s="407">
        <f t="shared" si="0"/>
        <v>926</v>
      </c>
      <c r="U18" s="407">
        <f t="shared" si="0"/>
        <v>1122</v>
      </c>
      <c r="V18" s="407">
        <f t="shared" si="0"/>
        <v>1279</v>
      </c>
      <c r="W18" s="407">
        <f t="shared" si="0"/>
        <v>1528</v>
      </c>
      <c r="X18" s="408"/>
      <c r="Y18" s="409"/>
    </row>
    <row r="19" spans="11:23" ht="12.75" hidden="1">
      <c r="K19" s="410"/>
      <c r="L19" s="410"/>
      <c r="M19" s="411" t="s">
        <v>86</v>
      </c>
      <c r="N19" s="411" t="s">
        <v>86</v>
      </c>
      <c r="O19" s="411" t="s">
        <v>86</v>
      </c>
      <c r="P19" s="411" t="s">
        <v>86</v>
      </c>
      <c r="Q19" s="411" t="s">
        <v>86</v>
      </c>
      <c r="R19" s="411" t="s">
        <v>86</v>
      </c>
      <c r="S19" s="411" t="s">
        <v>86</v>
      </c>
      <c r="T19" s="411" t="s">
        <v>86</v>
      </c>
      <c r="U19" s="411" t="s">
        <v>86</v>
      </c>
      <c r="V19" s="411" t="s">
        <v>86</v>
      </c>
      <c r="W19" s="411" t="s">
        <v>86</v>
      </c>
    </row>
    <row r="20" spans="12:23" ht="12.75" hidden="1">
      <c r="L20" s="398">
        <f>IF(L18=0,(CONCATENATE(L17,". ")),"")</f>
      </c>
      <c r="M20" s="398">
        <f>IF(M18=0,(CONCATENATE(M17,". ")),"")</f>
      </c>
      <c r="N20" s="398">
        <f aca="true" t="shared" si="1" ref="N20:V20">IF(N18=0,(CONCATENATE(N17,". ")),"")</f>
      </c>
      <c r="O20" s="398">
        <f t="shared" si="1"/>
      </c>
      <c r="P20" s="398">
        <f t="shared" si="1"/>
      </c>
      <c r="Q20" s="398">
        <f t="shared" si="1"/>
      </c>
      <c r="R20" s="398">
        <f t="shared" si="1"/>
      </c>
      <c r="S20" s="398">
        <f t="shared" si="1"/>
      </c>
      <c r="T20" s="398">
        <f t="shared" si="1"/>
      </c>
      <c r="U20" s="398">
        <f t="shared" si="1"/>
      </c>
      <c r="V20" s="398">
        <f t="shared" si="1"/>
      </c>
      <c r="W20" s="398">
        <f>IF($W$18=0,(CONCATENATE($W$17,". ")),"")</f>
      </c>
    </row>
    <row r="21" spans="12:21" ht="27.75" customHeight="1" hidden="1">
      <c r="L21" s="295" t="str">
        <f>CONCATENATE("[01 Ocak - 30 Haziran ",$G$27," Tarihleri Arasında Geçerlidir]")</f>
        <v>[01 Ocak - 30 Haziran 2009 Tarihleri Arasında Geçerlidir]</v>
      </c>
      <c r="M21" s="295"/>
      <c r="N21" s="295"/>
      <c r="O21" s="295"/>
      <c r="R21" s="295" t="str">
        <f>CONCATENATE("01 Ocak - 30 Haziran ",$G$27," ")</f>
        <v>01 Ocak - 30 Haziran 2009 </v>
      </c>
      <c r="S21" s="295"/>
      <c r="T21" s="295"/>
      <c r="U21" s="295"/>
    </row>
    <row r="22" spans="12:21" ht="15.75" hidden="1">
      <c r="L22" s="480" t="str">
        <f>CONCATENATE("[01 Temmuz - 31 Aralık ",$G$27," Tarihleri Arasında Geçerlidir]")</f>
        <v>[01 Temmuz - 31 Aralık 2009 Tarihleri Arasında Geçerlidir]</v>
      </c>
      <c r="M22" s="480"/>
      <c r="N22" s="480"/>
      <c r="O22" s="480"/>
      <c r="R22" s="295" t="str">
        <f>CONCATENATE("01 Temmuz - 31 Aralık ",$G$27," ")</f>
        <v>01 Temmuz - 31 Aralık 2009 </v>
      </c>
      <c r="S22" s="295"/>
      <c r="T22" s="295"/>
      <c r="U22" s="295"/>
    </row>
    <row r="23" spans="12:21" ht="14.25" hidden="1">
      <c r="L23" s="412"/>
      <c r="M23" s="412"/>
      <c r="N23" s="412"/>
      <c r="O23" s="412"/>
      <c r="R23" s="412"/>
      <c r="S23" s="412"/>
      <c r="T23" s="412"/>
      <c r="U23" s="412"/>
    </row>
    <row r="24" spans="12:18" s="412" customFormat="1" ht="15.75" hidden="1">
      <c r="L24" s="413" t="str">
        <f>IF($H$27="2.DÖNEM",$R$73,IF($H$27="1.DÖNEM",$R$72,"DÖNEM SEÇİNİZ"))</f>
        <v>[ 01 Temmuz - 31 Aralık 2009 Tarihleri Arasında Geçerlidir ]</v>
      </c>
      <c r="R24" s="413" t="str">
        <f>IF($H$27="2.DÖNEM",$R$22,IF($H$27="1.DÖNEM",$R$21,""))</f>
        <v>01 Temmuz - 31 Aralık 2009 </v>
      </c>
    </row>
    <row r="25" spans="24:29" s="412" customFormat="1" ht="48" customHeight="1" hidden="1">
      <c r="X25" s="458" t="s">
        <v>99</v>
      </c>
      <c r="Y25" s="459"/>
      <c r="Z25" s="486" t="s">
        <v>100</v>
      </c>
      <c r="AA25" s="487"/>
      <c r="AB25" s="486" t="s">
        <v>101</v>
      </c>
      <c r="AC25" s="488"/>
    </row>
    <row r="26" spans="2:30" s="412" customFormat="1" ht="30" customHeight="1" hidden="1">
      <c r="B26" s="412">
        <v>1</v>
      </c>
      <c r="C26" s="412" t="s">
        <v>162</v>
      </c>
      <c r="G26" s="414" t="s">
        <v>168</v>
      </c>
      <c r="H26" s="415" t="s">
        <v>169</v>
      </c>
      <c r="K26" s="412" t="s">
        <v>162</v>
      </c>
      <c r="L26" s="442" t="s">
        <v>10</v>
      </c>
      <c r="M26" s="399">
        <v>1</v>
      </c>
      <c r="N26" s="400">
        <v>2</v>
      </c>
      <c r="O26" s="401" t="s">
        <v>14</v>
      </c>
      <c r="P26" s="401" t="s">
        <v>15</v>
      </c>
      <c r="Q26" s="401" t="s">
        <v>16</v>
      </c>
      <c r="R26" s="401" t="s">
        <v>17</v>
      </c>
      <c r="S26" s="401" t="s">
        <v>18</v>
      </c>
      <c r="T26" s="401" t="s">
        <v>19</v>
      </c>
      <c r="U26" s="401" t="s">
        <v>20</v>
      </c>
      <c r="V26" s="401" t="s">
        <v>21</v>
      </c>
      <c r="W26" s="401" t="s">
        <v>22</v>
      </c>
      <c r="X26" s="405" t="s">
        <v>216</v>
      </c>
      <c r="Y26" s="406" t="s">
        <v>217</v>
      </c>
      <c r="Z26" s="405" t="s">
        <v>216</v>
      </c>
      <c r="AA26" s="406" t="s">
        <v>217</v>
      </c>
      <c r="AB26" s="405" t="s">
        <v>216</v>
      </c>
      <c r="AC26" s="406" t="s">
        <v>217</v>
      </c>
      <c r="AD26" s="406" t="s">
        <v>222</v>
      </c>
    </row>
    <row r="27" spans="2:29" s="412" customFormat="1" ht="14.25" hidden="1">
      <c r="B27" s="416">
        <f>B26+1</f>
        <v>2</v>
      </c>
      <c r="C27" s="417" t="s">
        <v>172</v>
      </c>
      <c r="D27" s="417">
        <v>3</v>
      </c>
      <c r="E27" s="417">
        <v>2009</v>
      </c>
      <c r="F27" s="417" t="s">
        <v>166</v>
      </c>
      <c r="G27" s="418">
        <f>LOOKUP($K$9,$C$27:$C$70,$E$27:$E$70)</f>
        <v>2009</v>
      </c>
      <c r="H27" s="419" t="str">
        <f>LOOKUP($K$9,$C$27:$C$70,$F$27:$F$70)</f>
        <v>2.DÖNEM</v>
      </c>
      <c r="I27" s="420"/>
      <c r="J27" s="421" t="str">
        <f>LOOKUP($D$27,$B$26:$B$70,$C$26:$C$70)</f>
        <v>2009 - 2. DÖNEM</v>
      </c>
      <c r="K27" s="417" t="s">
        <v>172</v>
      </c>
      <c r="L27" s="422">
        <v>0.6</v>
      </c>
      <c r="M27" s="423">
        <v>112</v>
      </c>
      <c r="N27" s="423">
        <v>245</v>
      </c>
      <c r="O27" s="423">
        <v>399</v>
      </c>
      <c r="P27" s="423">
        <v>455</v>
      </c>
      <c r="Q27" s="423">
        <v>513</v>
      </c>
      <c r="R27" s="423">
        <v>568</v>
      </c>
      <c r="S27" s="423">
        <v>682</v>
      </c>
      <c r="T27" s="423">
        <v>846</v>
      </c>
      <c r="U27" s="423">
        <v>1025</v>
      </c>
      <c r="V27" s="423">
        <v>1169</v>
      </c>
      <c r="W27" s="423">
        <v>1396</v>
      </c>
      <c r="X27" s="445">
        <v>425</v>
      </c>
      <c r="Y27" s="444">
        <v>16</v>
      </c>
      <c r="Z27" s="445">
        <v>640</v>
      </c>
      <c r="AA27" s="444">
        <v>24</v>
      </c>
      <c r="AB27" s="445">
        <v>640</v>
      </c>
      <c r="AC27" s="444">
        <v>24</v>
      </c>
    </row>
    <row r="28" spans="2:30" s="412" customFormat="1" ht="14.25" hidden="1">
      <c r="B28" s="412">
        <f aca="true" t="shared" si="2" ref="B28:B70">B27+1</f>
        <v>3</v>
      </c>
      <c r="C28" s="412" t="s">
        <v>173</v>
      </c>
      <c r="E28" s="412">
        <v>2009</v>
      </c>
      <c r="F28" s="424" t="s">
        <v>167</v>
      </c>
      <c r="G28" s="425"/>
      <c r="H28" s="425"/>
      <c r="J28" s="421"/>
      <c r="K28" s="412" t="s">
        <v>173</v>
      </c>
      <c r="L28" s="422">
        <v>0.6</v>
      </c>
      <c r="M28" s="443">
        <v>123</v>
      </c>
      <c r="N28" s="443">
        <v>268</v>
      </c>
      <c r="O28" s="443">
        <v>437</v>
      </c>
      <c r="P28" s="443">
        <v>498</v>
      </c>
      <c r="Q28" s="443">
        <v>561</v>
      </c>
      <c r="R28" s="443">
        <v>622</v>
      </c>
      <c r="S28" s="443">
        <v>746</v>
      </c>
      <c r="T28" s="443">
        <v>926</v>
      </c>
      <c r="U28" s="443">
        <v>1122</v>
      </c>
      <c r="V28" s="443">
        <v>1279</v>
      </c>
      <c r="W28" s="443">
        <v>1528</v>
      </c>
      <c r="X28" s="443">
        <v>465</v>
      </c>
      <c r="Y28" s="446">
        <v>17</v>
      </c>
      <c r="Z28" s="445">
        <v>700</v>
      </c>
      <c r="AA28" s="444">
        <v>24</v>
      </c>
      <c r="AB28" s="445">
        <v>700</v>
      </c>
      <c r="AC28" s="444">
        <v>24</v>
      </c>
      <c r="AD28" s="412" t="s">
        <v>223</v>
      </c>
    </row>
    <row r="29" spans="2:29" s="412" customFormat="1" ht="14.25" hidden="1">
      <c r="B29" s="412">
        <f t="shared" si="2"/>
        <v>4</v>
      </c>
      <c r="C29" s="412" t="s">
        <v>174</v>
      </c>
      <c r="E29" s="412">
        <v>2010</v>
      </c>
      <c r="F29" s="424" t="s">
        <v>166</v>
      </c>
      <c r="G29" s="425"/>
      <c r="H29" s="425"/>
      <c r="J29" s="421"/>
      <c r="K29" s="412" t="s">
        <v>174</v>
      </c>
      <c r="L29" s="422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</row>
    <row r="30" spans="2:29" s="412" customFormat="1" ht="14.25" hidden="1">
      <c r="B30" s="412">
        <f t="shared" si="2"/>
        <v>5</v>
      </c>
      <c r="C30" s="412" t="s">
        <v>175</v>
      </c>
      <c r="E30" s="412">
        <v>2010</v>
      </c>
      <c r="F30" s="424" t="s">
        <v>167</v>
      </c>
      <c r="G30" s="425"/>
      <c r="H30" s="425"/>
      <c r="J30" s="421"/>
      <c r="K30" s="412" t="s">
        <v>175</v>
      </c>
      <c r="L30" s="422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</row>
    <row r="31" spans="2:29" s="412" customFormat="1" ht="14.25" hidden="1">
      <c r="B31" s="412">
        <f t="shared" si="2"/>
        <v>6</v>
      </c>
      <c r="C31" s="412" t="s">
        <v>176</v>
      </c>
      <c r="E31" s="412">
        <f aca="true" t="shared" si="3" ref="E31:E70">E29+1</f>
        <v>2011</v>
      </c>
      <c r="F31" s="412" t="str">
        <f>F27</f>
        <v>1.DÖNEM</v>
      </c>
      <c r="G31" s="426"/>
      <c r="H31" s="426"/>
      <c r="J31" s="421"/>
      <c r="K31" s="412" t="s">
        <v>176</v>
      </c>
      <c r="L31" s="422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</row>
    <row r="32" spans="2:29" s="412" customFormat="1" ht="14.25" hidden="1">
      <c r="B32" s="412">
        <f t="shared" si="2"/>
        <v>7</v>
      </c>
      <c r="C32" s="412" t="s">
        <v>177</v>
      </c>
      <c r="E32" s="412">
        <f t="shared" si="3"/>
        <v>2011</v>
      </c>
      <c r="F32" s="412" t="str">
        <f>F30</f>
        <v>2.DÖNEM</v>
      </c>
      <c r="G32" s="426"/>
      <c r="H32" s="426"/>
      <c r="J32" s="421"/>
      <c r="K32" s="412" t="s">
        <v>177</v>
      </c>
      <c r="L32" s="422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</row>
    <row r="33" spans="2:29" s="412" customFormat="1" ht="14.25" hidden="1">
      <c r="B33" s="412">
        <f t="shared" si="2"/>
        <v>8</v>
      </c>
      <c r="C33" s="412" t="s">
        <v>178</v>
      </c>
      <c r="E33" s="412">
        <f t="shared" si="3"/>
        <v>2012</v>
      </c>
      <c r="F33" s="424" t="s">
        <v>166</v>
      </c>
      <c r="G33" s="425"/>
      <c r="H33" s="425"/>
      <c r="J33" s="421"/>
      <c r="K33" s="412" t="s">
        <v>178</v>
      </c>
      <c r="L33" s="422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</row>
    <row r="34" spans="2:29" s="412" customFormat="1" ht="14.25" hidden="1">
      <c r="B34" s="412">
        <f t="shared" si="2"/>
        <v>9</v>
      </c>
      <c r="C34" s="412" t="s">
        <v>197</v>
      </c>
      <c r="E34" s="412">
        <f t="shared" si="3"/>
        <v>2012</v>
      </c>
      <c r="F34" s="424" t="s">
        <v>167</v>
      </c>
      <c r="G34" s="425"/>
      <c r="H34" s="425"/>
      <c r="J34" s="421"/>
      <c r="K34" s="412" t="s">
        <v>197</v>
      </c>
      <c r="L34" s="422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</row>
    <row r="35" spans="2:29" s="412" customFormat="1" ht="14.25" hidden="1">
      <c r="B35" s="412">
        <f t="shared" si="2"/>
        <v>10</v>
      </c>
      <c r="C35" s="412" t="s">
        <v>179</v>
      </c>
      <c r="E35" s="412">
        <f t="shared" si="3"/>
        <v>2013</v>
      </c>
      <c r="F35" s="412" t="str">
        <f>F31</f>
        <v>1.DÖNEM</v>
      </c>
      <c r="G35" s="426"/>
      <c r="H35" s="426"/>
      <c r="J35" s="421"/>
      <c r="K35" s="412" t="s">
        <v>179</v>
      </c>
      <c r="L35" s="422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</row>
    <row r="36" spans="2:29" s="412" customFormat="1" ht="14.25" hidden="1">
      <c r="B36" s="412">
        <f t="shared" si="2"/>
        <v>11</v>
      </c>
      <c r="C36" s="412" t="s">
        <v>198</v>
      </c>
      <c r="E36" s="412">
        <f t="shared" si="3"/>
        <v>2013</v>
      </c>
      <c r="F36" s="412" t="str">
        <f>F34</f>
        <v>2.DÖNEM</v>
      </c>
      <c r="G36" s="426"/>
      <c r="H36" s="426"/>
      <c r="J36" s="421"/>
      <c r="K36" s="412" t="s">
        <v>198</v>
      </c>
      <c r="L36" s="422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</row>
    <row r="37" spans="2:29" s="412" customFormat="1" ht="14.25" hidden="1">
      <c r="B37" s="412">
        <f t="shared" si="2"/>
        <v>12</v>
      </c>
      <c r="C37" s="412" t="s">
        <v>180</v>
      </c>
      <c r="E37" s="412">
        <f t="shared" si="3"/>
        <v>2014</v>
      </c>
      <c r="F37" s="424" t="s">
        <v>166</v>
      </c>
      <c r="G37" s="425"/>
      <c r="H37" s="425"/>
      <c r="J37" s="421"/>
      <c r="K37" s="412" t="s">
        <v>180</v>
      </c>
      <c r="L37" s="422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</row>
    <row r="38" spans="2:29" s="412" customFormat="1" ht="14.25" hidden="1">
      <c r="B38" s="412">
        <f t="shared" si="2"/>
        <v>13</v>
      </c>
      <c r="C38" s="412" t="s">
        <v>199</v>
      </c>
      <c r="E38" s="412">
        <f t="shared" si="3"/>
        <v>2014</v>
      </c>
      <c r="F38" s="424" t="s">
        <v>167</v>
      </c>
      <c r="G38" s="425"/>
      <c r="H38" s="425"/>
      <c r="J38" s="421"/>
      <c r="K38" s="412" t="s">
        <v>199</v>
      </c>
      <c r="L38" s="422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</row>
    <row r="39" spans="2:29" s="412" customFormat="1" ht="14.25" hidden="1">
      <c r="B39" s="412">
        <f t="shared" si="2"/>
        <v>14</v>
      </c>
      <c r="C39" s="412" t="s">
        <v>181</v>
      </c>
      <c r="E39" s="412">
        <f t="shared" si="3"/>
        <v>2015</v>
      </c>
      <c r="F39" s="412" t="str">
        <f>F35</f>
        <v>1.DÖNEM</v>
      </c>
      <c r="G39" s="426"/>
      <c r="H39" s="426"/>
      <c r="J39" s="421"/>
      <c r="K39" s="412" t="s">
        <v>181</v>
      </c>
      <c r="L39" s="422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</row>
    <row r="40" spans="2:29" s="412" customFormat="1" ht="14.25" hidden="1">
      <c r="B40" s="412">
        <f t="shared" si="2"/>
        <v>15</v>
      </c>
      <c r="C40" s="412" t="s">
        <v>200</v>
      </c>
      <c r="E40" s="412">
        <f t="shared" si="3"/>
        <v>2015</v>
      </c>
      <c r="F40" s="412" t="str">
        <f>F38</f>
        <v>2.DÖNEM</v>
      </c>
      <c r="G40" s="426"/>
      <c r="H40" s="426"/>
      <c r="J40" s="421"/>
      <c r="K40" s="412" t="s">
        <v>200</v>
      </c>
      <c r="L40" s="422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</row>
    <row r="41" spans="2:29" s="412" customFormat="1" ht="14.25" hidden="1">
      <c r="B41" s="412">
        <f t="shared" si="2"/>
        <v>16</v>
      </c>
      <c r="C41" s="412" t="s">
        <v>182</v>
      </c>
      <c r="E41" s="412">
        <f t="shared" si="3"/>
        <v>2016</v>
      </c>
      <c r="F41" s="424" t="s">
        <v>166</v>
      </c>
      <c r="G41" s="425"/>
      <c r="H41" s="425"/>
      <c r="J41" s="421"/>
      <c r="K41" s="412" t="s">
        <v>182</v>
      </c>
      <c r="L41" s="422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</row>
    <row r="42" spans="2:29" s="412" customFormat="1" ht="14.25" hidden="1">
      <c r="B42" s="412">
        <f t="shared" si="2"/>
        <v>17</v>
      </c>
      <c r="C42" s="412" t="s">
        <v>201</v>
      </c>
      <c r="E42" s="412">
        <f t="shared" si="3"/>
        <v>2016</v>
      </c>
      <c r="F42" s="424" t="s">
        <v>167</v>
      </c>
      <c r="G42" s="425"/>
      <c r="H42" s="425"/>
      <c r="J42" s="421"/>
      <c r="K42" s="412" t="s">
        <v>201</v>
      </c>
      <c r="L42" s="422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</row>
    <row r="43" spans="2:29" s="412" customFormat="1" ht="14.25" hidden="1">
      <c r="B43" s="412">
        <f t="shared" si="2"/>
        <v>18</v>
      </c>
      <c r="C43" s="412" t="s">
        <v>183</v>
      </c>
      <c r="E43" s="412">
        <f t="shared" si="3"/>
        <v>2017</v>
      </c>
      <c r="F43" s="412" t="str">
        <f>F39</f>
        <v>1.DÖNEM</v>
      </c>
      <c r="G43" s="426"/>
      <c r="H43" s="426"/>
      <c r="J43" s="421"/>
      <c r="K43" s="412" t="s">
        <v>183</v>
      </c>
      <c r="L43" s="422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</row>
    <row r="44" spans="2:29" s="412" customFormat="1" ht="14.25" hidden="1">
      <c r="B44" s="412">
        <f t="shared" si="2"/>
        <v>19</v>
      </c>
      <c r="C44" s="412" t="s">
        <v>202</v>
      </c>
      <c r="E44" s="412">
        <f t="shared" si="3"/>
        <v>2017</v>
      </c>
      <c r="F44" s="412" t="str">
        <f>F42</f>
        <v>2.DÖNEM</v>
      </c>
      <c r="G44" s="426"/>
      <c r="H44" s="426"/>
      <c r="J44" s="421"/>
      <c r="K44" s="412" t="s">
        <v>202</v>
      </c>
      <c r="L44" s="422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</row>
    <row r="45" spans="2:29" s="412" customFormat="1" ht="14.25" hidden="1">
      <c r="B45" s="412">
        <f t="shared" si="2"/>
        <v>20</v>
      </c>
      <c r="C45" s="412" t="s">
        <v>184</v>
      </c>
      <c r="E45" s="412">
        <f t="shared" si="3"/>
        <v>2018</v>
      </c>
      <c r="F45" s="424" t="s">
        <v>166</v>
      </c>
      <c r="G45" s="425"/>
      <c r="H45" s="425"/>
      <c r="J45" s="421"/>
      <c r="K45" s="412" t="s">
        <v>184</v>
      </c>
      <c r="L45" s="422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</row>
    <row r="46" spans="2:29" s="412" customFormat="1" ht="14.25" hidden="1">
      <c r="B46" s="412">
        <f t="shared" si="2"/>
        <v>21</v>
      </c>
      <c r="C46" s="412" t="s">
        <v>203</v>
      </c>
      <c r="E46" s="412">
        <f t="shared" si="3"/>
        <v>2018</v>
      </c>
      <c r="F46" s="424" t="s">
        <v>167</v>
      </c>
      <c r="G46" s="425"/>
      <c r="H46" s="425"/>
      <c r="J46" s="421"/>
      <c r="K46" s="412" t="s">
        <v>203</v>
      </c>
      <c r="L46" s="422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</row>
    <row r="47" spans="2:29" s="412" customFormat="1" ht="14.25" hidden="1">
      <c r="B47" s="412">
        <f t="shared" si="2"/>
        <v>22</v>
      </c>
      <c r="C47" s="412" t="s">
        <v>185</v>
      </c>
      <c r="E47" s="412">
        <f t="shared" si="3"/>
        <v>2019</v>
      </c>
      <c r="F47" s="412" t="str">
        <f>F43</f>
        <v>1.DÖNEM</v>
      </c>
      <c r="G47" s="426"/>
      <c r="H47" s="426"/>
      <c r="J47" s="421"/>
      <c r="K47" s="412" t="s">
        <v>185</v>
      </c>
      <c r="L47" s="422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</row>
    <row r="48" spans="2:29" s="412" customFormat="1" ht="14.25" hidden="1">
      <c r="B48" s="412">
        <f t="shared" si="2"/>
        <v>23</v>
      </c>
      <c r="C48" s="412" t="s">
        <v>204</v>
      </c>
      <c r="E48" s="412">
        <f t="shared" si="3"/>
        <v>2019</v>
      </c>
      <c r="F48" s="412" t="str">
        <f>F46</f>
        <v>2.DÖNEM</v>
      </c>
      <c r="G48" s="426"/>
      <c r="H48" s="426"/>
      <c r="J48" s="421"/>
      <c r="K48" s="412" t="s">
        <v>204</v>
      </c>
      <c r="L48" s="422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</row>
    <row r="49" spans="2:29" s="412" customFormat="1" ht="14.25" hidden="1">
      <c r="B49" s="412">
        <f t="shared" si="2"/>
        <v>24</v>
      </c>
      <c r="C49" s="412" t="s">
        <v>186</v>
      </c>
      <c r="E49" s="412">
        <f t="shared" si="3"/>
        <v>2020</v>
      </c>
      <c r="F49" s="424" t="s">
        <v>166</v>
      </c>
      <c r="G49" s="425"/>
      <c r="H49" s="425"/>
      <c r="J49" s="421"/>
      <c r="K49" s="412" t="s">
        <v>186</v>
      </c>
      <c r="L49" s="422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</row>
    <row r="50" spans="2:29" s="412" customFormat="1" ht="14.25" hidden="1">
      <c r="B50" s="412">
        <f t="shared" si="2"/>
        <v>25</v>
      </c>
      <c r="C50" s="412" t="s">
        <v>205</v>
      </c>
      <c r="E50" s="412">
        <f t="shared" si="3"/>
        <v>2020</v>
      </c>
      <c r="F50" s="424" t="s">
        <v>167</v>
      </c>
      <c r="G50" s="425"/>
      <c r="H50" s="425"/>
      <c r="J50" s="421"/>
      <c r="K50" s="412" t="s">
        <v>205</v>
      </c>
      <c r="L50" s="422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</row>
    <row r="51" spans="2:29" s="412" customFormat="1" ht="14.25" hidden="1">
      <c r="B51" s="412">
        <f t="shared" si="2"/>
        <v>26</v>
      </c>
      <c r="C51" s="412" t="s">
        <v>187</v>
      </c>
      <c r="E51" s="412">
        <f t="shared" si="3"/>
        <v>2021</v>
      </c>
      <c r="F51" s="412" t="str">
        <f>F47</f>
        <v>1.DÖNEM</v>
      </c>
      <c r="G51" s="426"/>
      <c r="H51" s="426"/>
      <c r="J51" s="421"/>
      <c r="K51" s="412" t="s">
        <v>187</v>
      </c>
      <c r="L51" s="422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</row>
    <row r="52" spans="2:29" s="412" customFormat="1" ht="14.25" hidden="1">
      <c r="B52" s="412">
        <f t="shared" si="2"/>
        <v>27</v>
      </c>
      <c r="C52" s="412" t="s">
        <v>206</v>
      </c>
      <c r="E52" s="412">
        <f t="shared" si="3"/>
        <v>2021</v>
      </c>
      <c r="F52" s="412" t="str">
        <f>F50</f>
        <v>2.DÖNEM</v>
      </c>
      <c r="G52" s="426"/>
      <c r="H52" s="426"/>
      <c r="J52" s="421"/>
      <c r="K52" s="412" t="s">
        <v>206</v>
      </c>
      <c r="L52" s="422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</row>
    <row r="53" spans="2:29" s="412" customFormat="1" ht="14.25" hidden="1">
      <c r="B53" s="412">
        <f t="shared" si="2"/>
        <v>28</v>
      </c>
      <c r="C53" s="412" t="s">
        <v>188</v>
      </c>
      <c r="E53" s="412">
        <f t="shared" si="3"/>
        <v>2022</v>
      </c>
      <c r="F53" s="424" t="s">
        <v>166</v>
      </c>
      <c r="G53" s="425"/>
      <c r="H53" s="425"/>
      <c r="J53" s="421"/>
      <c r="K53" s="412" t="s">
        <v>188</v>
      </c>
      <c r="L53" s="422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</row>
    <row r="54" spans="2:29" s="412" customFormat="1" ht="14.25" hidden="1">
      <c r="B54" s="412">
        <f t="shared" si="2"/>
        <v>29</v>
      </c>
      <c r="C54" s="412" t="s">
        <v>207</v>
      </c>
      <c r="E54" s="412">
        <f t="shared" si="3"/>
        <v>2022</v>
      </c>
      <c r="F54" s="424" t="s">
        <v>167</v>
      </c>
      <c r="G54" s="425"/>
      <c r="H54" s="425"/>
      <c r="J54" s="421"/>
      <c r="K54" s="412" t="s">
        <v>207</v>
      </c>
      <c r="L54" s="422"/>
      <c r="M54" s="443"/>
      <c r="N54" s="443"/>
      <c r="O54" s="443"/>
      <c r="P54" s="443"/>
      <c r="Q54" s="443"/>
      <c r="R54" s="443"/>
      <c r="S54" s="443"/>
      <c r="T54" s="443"/>
      <c r="U54" s="443"/>
      <c r="V54" s="443"/>
      <c r="W54" s="443"/>
      <c r="X54" s="443"/>
      <c r="Y54" s="443"/>
      <c r="Z54" s="443"/>
      <c r="AA54" s="443"/>
      <c r="AB54" s="443"/>
      <c r="AC54" s="443"/>
    </row>
    <row r="55" spans="2:29" s="412" customFormat="1" ht="14.25" hidden="1">
      <c r="B55" s="412">
        <f t="shared" si="2"/>
        <v>30</v>
      </c>
      <c r="C55" s="412" t="s">
        <v>189</v>
      </c>
      <c r="E55" s="412">
        <f t="shared" si="3"/>
        <v>2023</v>
      </c>
      <c r="F55" s="412" t="str">
        <f>F51</f>
        <v>1.DÖNEM</v>
      </c>
      <c r="G55" s="426"/>
      <c r="H55" s="426"/>
      <c r="J55" s="421"/>
      <c r="K55" s="412" t="s">
        <v>189</v>
      </c>
      <c r="L55" s="422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</row>
    <row r="56" spans="2:29" s="412" customFormat="1" ht="14.25" hidden="1">
      <c r="B56" s="412">
        <f t="shared" si="2"/>
        <v>31</v>
      </c>
      <c r="C56" s="412" t="s">
        <v>208</v>
      </c>
      <c r="E56" s="412">
        <f t="shared" si="3"/>
        <v>2023</v>
      </c>
      <c r="F56" s="412" t="str">
        <f>F54</f>
        <v>2.DÖNEM</v>
      </c>
      <c r="G56" s="426"/>
      <c r="H56" s="426"/>
      <c r="J56" s="421"/>
      <c r="K56" s="412" t="s">
        <v>208</v>
      </c>
      <c r="L56" s="422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</row>
    <row r="57" spans="2:29" s="412" customFormat="1" ht="14.25" hidden="1">
      <c r="B57" s="412">
        <f t="shared" si="2"/>
        <v>32</v>
      </c>
      <c r="C57" s="412" t="s">
        <v>190</v>
      </c>
      <c r="E57" s="412">
        <f t="shared" si="3"/>
        <v>2024</v>
      </c>
      <c r="F57" s="424" t="s">
        <v>166</v>
      </c>
      <c r="G57" s="425"/>
      <c r="H57" s="425"/>
      <c r="J57" s="421"/>
      <c r="K57" s="412" t="s">
        <v>190</v>
      </c>
      <c r="L57" s="422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</row>
    <row r="58" spans="2:29" s="412" customFormat="1" ht="14.25" hidden="1">
      <c r="B58" s="412">
        <f t="shared" si="2"/>
        <v>33</v>
      </c>
      <c r="C58" s="412" t="s">
        <v>209</v>
      </c>
      <c r="E58" s="412">
        <f t="shared" si="3"/>
        <v>2024</v>
      </c>
      <c r="F58" s="424" t="s">
        <v>167</v>
      </c>
      <c r="G58" s="425"/>
      <c r="H58" s="425"/>
      <c r="J58" s="421"/>
      <c r="K58" s="412" t="s">
        <v>209</v>
      </c>
      <c r="L58" s="422"/>
      <c r="M58" s="443"/>
      <c r="N58" s="443"/>
      <c r="O58" s="443"/>
      <c r="P58" s="443"/>
      <c r="Q58" s="443"/>
      <c r="R58" s="443"/>
      <c r="S58" s="443"/>
      <c r="T58" s="443"/>
      <c r="U58" s="443"/>
      <c r="V58" s="443"/>
      <c r="W58" s="443"/>
      <c r="X58" s="443"/>
      <c r="Y58" s="443"/>
      <c r="Z58" s="443"/>
      <c r="AA58" s="443"/>
      <c r="AB58" s="443"/>
      <c r="AC58" s="443"/>
    </row>
    <row r="59" spans="2:29" s="412" customFormat="1" ht="14.25" hidden="1">
      <c r="B59" s="412">
        <f t="shared" si="2"/>
        <v>34</v>
      </c>
      <c r="C59" s="412" t="s">
        <v>191</v>
      </c>
      <c r="E59" s="412">
        <f t="shared" si="3"/>
        <v>2025</v>
      </c>
      <c r="F59" s="412" t="str">
        <f>F55</f>
        <v>1.DÖNEM</v>
      </c>
      <c r="G59" s="426"/>
      <c r="H59" s="426"/>
      <c r="J59" s="421"/>
      <c r="K59" s="412" t="s">
        <v>191</v>
      </c>
      <c r="L59" s="422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</row>
    <row r="60" spans="2:29" s="412" customFormat="1" ht="14.25" hidden="1">
      <c r="B60" s="412">
        <f t="shared" si="2"/>
        <v>35</v>
      </c>
      <c r="C60" s="412" t="s">
        <v>210</v>
      </c>
      <c r="E60" s="412">
        <f t="shared" si="3"/>
        <v>2025</v>
      </c>
      <c r="F60" s="412" t="str">
        <f>F58</f>
        <v>2.DÖNEM</v>
      </c>
      <c r="G60" s="426"/>
      <c r="H60" s="426"/>
      <c r="J60" s="421"/>
      <c r="K60" s="412" t="s">
        <v>210</v>
      </c>
      <c r="L60" s="422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</row>
    <row r="61" spans="2:29" s="412" customFormat="1" ht="14.25" hidden="1">
      <c r="B61" s="412">
        <f t="shared" si="2"/>
        <v>36</v>
      </c>
      <c r="C61" s="412" t="s">
        <v>192</v>
      </c>
      <c r="E61" s="412">
        <f t="shared" si="3"/>
        <v>2026</v>
      </c>
      <c r="F61" s="424" t="s">
        <v>167</v>
      </c>
      <c r="G61" s="425"/>
      <c r="H61" s="425"/>
      <c r="J61" s="421"/>
      <c r="K61" s="412" t="s">
        <v>192</v>
      </c>
      <c r="L61" s="422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</row>
    <row r="62" spans="2:29" s="412" customFormat="1" ht="14.25" hidden="1">
      <c r="B62" s="412">
        <f t="shared" si="2"/>
        <v>37</v>
      </c>
      <c r="C62" s="412" t="s">
        <v>211</v>
      </c>
      <c r="E62" s="412">
        <f t="shared" si="3"/>
        <v>2026</v>
      </c>
      <c r="F62" s="412" t="str">
        <f>F58</f>
        <v>2.DÖNEM</v>
      </c>
      <c r="G62" s="426"/>
      <c r="H62" s="426"/>
      <c r="J62" s="421"/>
      <c r="K62" s="412" t="s">
        <v>211</v>
      </c>
      <c r="L62" s="422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</row>
    <row r="63" spans="2:29" s="412" customFormat="1" ht="14.25" hidden="1">
      <c r="B63" s="412">
        <f t="shared" si="2"/>
        <v>38</v>
      </c>
      <c r="C63" s="412" t="s">
        <v>193</v>
      </c>
      <c r="E63" s="412">
        <f t="shared" si="3"/>
        <v>2027</v>
      </c>
      <c r="F63" s="412" t="str">
        <f>F61</f>
        <v>2.DÖNEM</v>
      </c>
      <c r="G63" s="426"/>
      <c r="H63" s="426"/>
      <c r="J63" s="421"/>
      <c r="K63" s="412" t="s">
        <v>193</v>
      </c>
      <c r="L63" s="422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</row>
    <row r="64" spans="2:29" s="412" customFormat="1" ht="14.25" hidden="1">
      <c r="B64" s="412">
        <f t="shared" si="2"/>
        <v>39</v>
      </c>
      <c r="C64" s="412" t="s">
        <v>212</v>
      </c>
      <c r="E64" s="412">
        <f t="shared" si="3"/>
        <v>2027</v>
      </c>
      <c r="F64" s="424" t="s">
        <v>166</v>
      </c>
      <c r="G64" s="425"/>
      <c r="H64" s="425"/>
      <c r="J64" s="421"/>
      <c r="K64" s="412" t="s">
        <v>212</v>
      </c>
      <c r="L64" s="422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</row>
    <row r="65" spans="2:29" s="412" customFormat="1" ht="14.25" hidden="1">
      <c r="B65" s="412">
        <f t="shared" si="2"/>
        <v>40</v>
      </c>
      <c r="C65" s="412" t="s">
        <v>194</v>
      </c>
      <c r="E65" s="412">
        <f t="shared" si="3"/>
        <v>2028</v>
      </c>
      <c r="F65" s="424" t="s">
        <v>167</v>
      </c>
      <c r="G65" s="425"/>
      <c r="H65" s="425"/>
      <c r="J65" s="421"/>
      <c r="K65" s="412" t="s">
        <v>194</v>
      </c>
      <c r="L65" s="422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43"/>
      <c r="AB65" s="443"/>
      <c r="AC65" s="443"/>
    </row>
    <row r="66" spans="2:29" s="412" customFormat="1" ht="14.25" hidden="1">
      <c r="B66" s="412">
        <f t="shared" si="2"/>
        <v>41</v>
      </c>
      <c r="C66" s="412" t="s">
        <v>213</v>
      </c>
      <c r="E66" s="412">
        <f t="shared" si="3"/>
        <v>2028</v>
      </c>
      <c r="F66" s="412" t="str">
        <f>F62</f>
        <v>2.DÖNEM</v>
      </c>
      <c r="G66" s="426"/>
      <c r="H66" s="426"/>
      <c r="J66" s="421"/>
      <c r="K66" s="412" t="s">
        <v>213</v>
      </c>
      <c r="L66" s="422"/>
      <c r="M66" s="443"/>
      <c r="N66" s="443"/>
      <c r="O66" s="443"/>
      <c r="P66" s="443"/>
      <c r="Q66" s="443"/>
      <c r="R66" s="443"/>
      <c r="S66" s="443"/>
      <c r="T66" s="443"/>
      <c r="U66" s="443"/>
      <c r="V66" s="443"/>
      <c r="W66" s="443"/>
      <c r="X66" s="443"/>
      <c r="Y66" s="443"/>
      <c r="Z66" s="443"/>
      <c r="AA66" s="443"/>
      <c r="AB66" s="443"/>
      <c r="AC66" s="443"/>
    </row>
    <row r="67" spans="2:29" s="412" customFormat="1" ht="14.25" hidden="1">
      <c r="B67" s="412">
        <f t="shared" si="2"/>
        <v>42</v>
      </c>
      <c r="C67" s="412" t="s">
        <v>195</v>
      </c>
      <c r="E67" s="412">
        <f t="shared" si="3"/>
        <v>2029</v>
      </c>
      <c r="F67" s="412" t="str">
        <f>F65</f>
        <v>2.DÖNEM</v>
      </c>
      <c r="G67" s="426"/>
      <c r="H67" s="426"/>
      <c r="J67" s="421"/>
      <c r="K67" s="412" t="s">
        <v>195</v>
      </c>
      <c r="L67" s="422"/>
      <c r="M67" s="443"/>
      <c r="N67" s="443"/>
      <c r="O67" s="443"/>
      <c r="P67" s="443"/>
      <c r="Q67" s="443"/>
      <c r="R67" s="443"/>
      <c r="S67" s="443"/>
      <c r="T67" s="443"/>
      <c r="U67" s="443"/>
      <c r="V67" s="443"/>
      <c r="W67" s="443"/>
      <c r="X67" s="443"/>
      <c r="Y67" s="443"/>
      <c r="Z67" s="443"/>
      <c r="AA67" s="443"/>
      <c r="AB67" s="443"/>
      <c r="AC67" s="443"/>
    </row>
    <row r="68" spans="2:29" s="412" customFormat="1" ht="14.25" hidden="1">
      <c r="B68" s="412">
        <f t="shared" si="2"/>
        <v>43</v>
      </c>
      <c r="C68" s="412" t="s">
        <v>214</v>
      </c>
      <c r="E68" s="412">
        <f t="shared" si="3"/>
        <v>2029</v>
      </c>
      <c r="F68" s="424" t="s">
        <v>167</v>
      </c>
      <c r="G68" s="425"/>
      <c r="H68" s="425"/>
      <c r="J68" s="421"/>
      <c r="K68" s="412" t="s">
        <v>214</v>
      </c>
      <c r="L68" s="422"/>
      <c r="M68" s="443"/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/>
    </row>
    <row r="69" spans="2:29" s="412" customFormat="1" ht="14.25" hidden="1">
      <c r="B69" s="412">
        <f t="shared" si="2"/>
        <v>44</v>
      </c>
      <c r="C69" s="412" t="s">
        <v>196</v>
      </c>
      <c r="E69" s="412">
        <f t="shared" si="3"/>
        <v>2030</v>
      </c>
      <c r="F69" s="412" t="str">
        <f>F65</f>
        <v>2.DÖNEM</v>
      </c>
      <c r="G69" s="426"/>
      <c r="H69" s="426"/>
      <c r="J69" s="421"/>
      <c r="K69" s="412" t="s">
        <v>196</v>
      </c>
      <c r="L69" s="422"/>
      <c r="M69" s="443"/>
      <c r="N69" s="443"/>
      <c r="O69" s="443"/>
      <c r="P69" s="443"/>
      <c r="Q69" s="443"/>
      <c r="R69" s="443"/>
      <c r="S69" s="443"/>
      <c r="T69" s="443"/>
      <c r="U69" s="443"/>
      <c r="V69" s="443"/>
      <c r="W69" s="443"/>
      <c r="X69" s="443"/>
      <c r="Y69" s="443"/>
      <c r="Z69" s="443"/>
      <c r="AA69" s="443"/>
      <c r="AB69" s="443"/>
      <c r="AC69" s="443"/>
    </row>
    <row r="70" spans="2:29" s="412" customFormat="1" ht="14.25" hidden="1">
      <c r="B70" s="412">
        <f t="shared" si="2"/>
        <v>45</v>
      </c>
      <c r="C70" s="412" t="s">
        <v>215</v>
      </c>
      <c r="E70" s="412">
        <f t="shared" si="3"/>
        <v>2030</v>
      </c>
      <c r="F70" s="412" t="str">
        <f>F68</f>
        <v>2.DÖNEM</v>
      </c>
      <c r="G70" s="426"/>
      <c r="H70" s="426"/>
      <c r="J70" s="421"/>
      <c r="K70" s="412" t="s">
        <v>215</v>
      </c>
      <c r="L70" s="422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</row>
    <row r="71" spans="6:8" s="412" customFormat="1" ht="14.25" hidden="1">
      <c r="F71" s="424"/>
      <c r="G71" s="424"/>
      <c r="H71" s="424"/>
    </row>
    <row r="72" spans="6:22" s="412" customFormat="1" ht="59.25" customHeight="1" hidden="1">
      <c r="F72" s="424"/>
      <c r="G72" s="424"/>
      <c r="H72" s="424"/>
      <c r="J72" s="478" t="s">
        <v>165</v>
      </c>
      <c r="K72" s="479"/>
      <c r="L72" s="478" t="s">
        <v>169</v>
      </c>
      <c r="M72" s="479"/>
      <c r="N72" s="427" t="s">
        <v>218</v>
      </c>
      <c r="O72" s="427" t="s">
        <v>164</v>
      </c>
      <c r="R72" s="295" t="str">
        <f>CONCATENATE("[ 01 Ocak - 30 Haziran ",$G$27," Tarihleri Arasında Geçerlidir ]")</f>
        <v>[ 01 Ocak - 30 Haziran 2009 Tarihleri Arasında Geçerlidir ]</v>
      </c>
      <c r="S72" s="295"/>
      <c r="T72" s="295"/>
      <c r="U72" s="295"/>
      <c r="V72" s="295"/>
    </row>
    <row r="73" spans="10:21" s="412" customFormat="1" ht="15.75" customHeight="1" hidden="1">
      <c r="J73" s="392" t="s">
        <v>99</v>
      </c>
      <c r="K73" s="393"/>
      <c r="L73" s="476" t="str">
        <f>$J$27</f>
        <v>2009 - 2. DÖNEM</v>
      </c>
      <c r="M73" s="477"/>
      <c r="N73" s="407">
        <f>LOOKUP($K$18,$C$27:$C$70,$X$27:$X$70)</f>
        <v>465</v>
      </c>
      <c r="O73" s="407">
        <f>LOOKUP($K$18,$C$27:$C$70,$Y$27:$Y$70)</f>
        <v>17</v>
      </c>
      <c r="R73" s="480" t="str">
        <f>CONCATENATE("[ 01 Temmuz - 31 Aralık ",$G$27," Tarihleri Arasında Geçerlidir ]")</f>
        <v>[ 01 Temmuz - 31 Aralık 2009 Tarihleri Arasında Geçerlidir ]</v>
      </c>
      <c r="S73" s="480"/>
      <c r="T73" s="480"/>
      <c r="U73" s="480"/>
    </row>
    <row r="74" spans="10:15" s="412" customFormat="1" ht="15" hidden="1">
      <c r="J74" s="394" t="s">
        <v>100</v>
      </c>
      <c r="K74" s="395"/>
      <c r="L74" s="476" t="str">
        <f>$J$27</f>
        <v>2009 - 2. DÖNEM</v>
      </c>
      <c r="M74" s="477"/>
      <c r="N74" s="407">
        <f>LOOKUP($K$18,$C$27:$C$70,$Z$27:$Z$70)</f>
        <v>700</v>
      </c>
      <c r="O74" s="407">
        <f>LOOKUP($K$18,$C$27:$C$70,$AA$27:$AA$70)</f>
        <v>24</v>
      </c>
    </row>
    <row r="75" spans="10:18" s="412" customFormat="1" ht="15" hidden="1">
      <c r="J75" s="396" t="s">
        <v>101</v>
      </c>
      <c r="K75" s="397"/>
      <c r="L75" s="476" t="str">
        <f>$J$27</f>
        <v>2009 - 2. DÖNEM</v>
      </c>
      <c r="M75" s="477"/>
      <c r="N75" s="407">
        <f>LOOKUP($K$18,$C$27:$C$70,$AB$27:$AB$70)</f>
        <v>700</v>
      </c>
      <c r="O75" s="407">
        <f>LOOKUP($K$18,$C$27:$C$70,$AC$27:$AC$70)</f>
        <v>24</v>
      </c>
      <c r="R75" s="412" t="str">
        <f>IF($H$27="2.DÖNEM",$R$73,IF($H$27="1.DÖNEM",$R$72,"DÖNEM SEÇİNİZ"))</f>
        <v>[ 01 Temmuz - 31 Aralık 2009 Tarihleri Arasında Geçerlidir ]</v>
      </c>
    </row>
    <row r="76" s="412" customFormat="1" ht="14.25" hidden="1"/>
    <row r="77" s="412" customFormat="1" ht="14.25" hidden="1"/>
    <row r="78" s="412" customFormat="1" ht="14.25" hidden="1"/>
    <row r="79" s="412" customFormat="1" ht="14.25" hidden="1"/>
    <row r="80" s="412" customFormat="1" ht="14.25" hidden="1"/>
    <row r="81" s="412" customFormat="1" ht="14.25"/>
    <row r="82" s="412" customFormat="1" ht="14.25"/>
    <row r="83" s="412" customFormat="1" ht="14.25"/>
    <row r="84" s="412" customFormat="1" ht="14.25"/>
    <row r="85" s="412" customFormat="1" ht="14.25"/>
    <row r="86" s="412" customFormat="1" ht="14.25"/>
    <row r="87" s="412" customFormat="1" ht="14.25"/>
    <row r="88" s="412" customFormat="1" ht="14.25"/>
    <row r="89" s="412" customFormat="1" ht="14.25"/>
    <row r="90" s="412" customFormat="1" ht="14.25"/>
    <row r="91" s="412" customFormat="1" ht="14.25"/>
    <row r="92" s="412" customFormat="1" ht="14.25"/>
    <row r="93" s="412" customFormat="1" ht="14.25"/>
    <row r="94" s="412" customFormat="1" ht="14.25"/>
    <row r="95" s="412" customFormat="1" ht="14.25"/>
    <row r="96" s="412" customFormat="1" ht="14.25"/>
    <row r="97" s="412" customFormat="1" ht="14.25"/>
    <row r="98" s="412" customFormat="1" ht="14.25"/>
    <row r="99" s="412" customFormat="1" ht="14.25"/>
    <row r="100" s="412" customFormat="1" ht="14.25"/>
    <row r="101" s="412" customFormat="1" ht="14.25"/>
    <row r="102" s="412" customFormat="1" ht="14.25"/>
    <row r="103" s="412" customFormat="1" ht="14.25"/>
    <row r="104" s="412" customFormat="1" ht="14.25"/>
    <row r="105" s="412" customFormat="1" ht="14.25"/>
    <row r="106" s="412" customFormat="1" ht="14.25"/>
    <row r="107" s="412" customFormat="1" ht="14.25"/>
    <row r="108" s="412" customFormat="1" ht="14.25"/>
    <row r="109" s="412" customFormat="1" ht="14.25"/>
    <row r="110" s="412" customFormat="1" ht="14.25"/>
    <row r="111" s="412" customFormat="1" ht="14.25"/>
    <row r="112" s="412" customFormat="1" ht="14.25"/>
    <row r="113" s="412" customFormat="1" ht="14.25"/>
    <row r="114" s="412" customFormat="1" ht="14.25"/>
    <row r="115" s="412" customFormat="1" ht="14.25"/>
    <row r="116" s="412" customFormat="1" ht="14.25"/>
    <row r="117" s="412" customFormat="1" ht="14.25"/>
    <row r="118" s="412" customFormat="1" ht="14.25"/>
    <row r="119" s="412" customFormat="1" ht="14.25"/>
    <row r="120" s="412" customFormat="1" ht="14.25"/>
    <row r="121" s="412" customFormat="1" ht="14.25"/>
    <row r="122" s="412" customFormat="1" ht="14.25"/>
    <row r="123" s="412" customFormat="1" ht="14.25"/>
    <row r="124" s="412" customFormat="1" ht="14.25"/>
    <row r="125" s="412" customFormat="1" ht="14.25"/>
    <row r="126" s="412" customFormat="1" ht="14.25"/>
    <row r="127" s="412" customFormat="1" ht="14.25"/>
    <row r="128" s="412" customFormat="1" ht="14.25"/>
    <row r="129" s="412" customFormat="1" ht="14.25"/>
    <row r="130" s="412" customFormat="1" ht="14.25"/>
    <row r="131" s="412" customFormat="1" ht="14.25"/>
    <row r="132" s="412" customFormat="1" ht="14.25"/>
    <row r="133" s="412" customFormat="1" ht="14.25"/>
    <row r="134" s="412" customFormat="1" ht="14.25"/>
    <row r="135" s="412" customFormat="1" ht="14.25"/>
    <row r="136" s="412" customFormat="1" ht="14.25"/>
    <row r="137" s="412" customFormat="1" ht="14.25"/>
    <row r="138" s="412" customFormat="1" ht="14.25"/>
    <row r="139" s="412" customFormat="1" ht="14.25"/>
    <row r="140" s="412" customFormat="1" ht="14.25"/>
    <row r="141" s="412" customFormat="1" ht="14.25"/>
    <row r="142" s="412" customFormat="1" ht="14.25"/>
    <row r="143" s="412" customFormat="1" ht="14.25"/>
    <row r="144" s="412" customFormat="1" ht="14.25"/>
    <row r="145" s="412" customFormat="1" ht="14.25"/>
    <row r="146" s="412" customFormat="1" ht="14.25"/>
    <row r="147" s="412" customFormat="1" ht="14.25"/>
    <row r="148" s="412" customFormat="1" ht="14.25"/>
    <row r="149" spans="16:21" s="412" customFormat="1" ht="14.25">
      <c r="P149" s="398"/>
      <c r="Q149" s="398"/>
      <c r="R149" s="398"/>
      <c r="S149" s="398"/>
      <c r="T149" s="398"/>
      <c r="U149" s="398"/>
    </row>
  </sheetData>
  <sheetProtection password="C704" sheet="1" objects="1" scenarios="1"/>
  <mergeCells count="18">
    <mergeCell ref="L74:M74"/>
    <mergeCell ref="Z25:AA25"/>
    <mergeCell ref="AB25:AC25"/>
    <mergeCell ref="L13:M13"/>
    <mergeCell ref="N13:O13"/>
    <mergeCell ref="P13:Q13"/>
    <mergeCell ref="L22:O22"/>
    <mergeCell ref="X25:Y25"/>
    <mergeCell ref="N2:Q2"/>
    <mergeCell ref="L75:M75"/>
    <mergeCell ref="J72:K72"/>
    <mergeCell ref="R73:U73"/>
    <mergeCell ref="M7:W7"/>
    <mergeCell ref="L7:L8"/>
    <mergeCell ref="K7:K8"/>
    <mergeCell ref="L72:M72"/>
    <mergeCell ref="L73:M73"/>
    <mergeCell ref="J12:Q12"/>
  </mergeCells>
  <printOptions/>
  <pageMargins left="0.75" right="0.22" top="0.56" bottom="0.58" header="0.5" footer="0.5"/>
  <pageSetup fitToHeight="1" fitToWidth="1" horizontalDpi="600" verticalDpi="600" orientation="landscape" paperSize="9" scale="9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9"/>
  <sheetViews>
    <sheetView showZeros="0" tabSelected="1" zoomScale="75" zoomScaleNormal="75" zoomScaleSheetLayoutView="75" workbookViewId="0" topLeftCell="A1">
      <selection activeCell="J13" sqref="J13"/>
    </sheetView>
  </sheetViews>
  <sheetFormatPr defaultColWidth="9.140625" defaultRowHeight="0" customHeight="1" zeroHeight="1"/>
  <cols>
    <col min="1" max="1" width="4.7109375" style="26" customWidth="1"/>
    <col min="2" max="4" width="2.7109375" style="1" customWidth="1"/>
    <col min="5" max="5" width="4.7109375" style="1" customWidth="1"/>
    <col min="6" max="6" width="17.57421875" style="1" customWidth="1"/>
    <col min="7" max="7" width="14.8515625" style="1" customWidth="1"/>
    <col min="8" max="8" width="15.140625" style="1" customWidth="1"/>
    <col min="9" max="9" width="10.57421875" style="1" bestFit="1" customWidth="1"/>
    <col min="10" max="10" width="21.7109375" style="1" customWidth="1"/>
    <col min="11" max="11" width="3.28125" style="1" customWidth="1"/>
    <col min="12" max="12" width="1.7109375" style="1" customWidth="1"/>
    <col min="13" max="13" width="2.8515625" style="1" customWidth="1"/>
    <col min="14" max="14" width="17.7109375" style="1" customWidth="1"/>
    <col min="15" max="15" width="16.28125" style="1" customWidth="1"/>
    <col min="16" max="16" width="12.421875" style="1" customWidth="1"/>
    <col min="17" max="17" width="19.00390625" style="1" customWidth="1"/>
    <col min="18" max="21" width="2.7109375" style="1" customWidth="1"/>
    <col min="22" max="22" width="4.7109375" style="1" customWidth="1"/>
    <col min="23" max="16384" width="9.140625" style="1" hidden="1" customWidth="1"/>
  </cols>
  <sheetData>
    <row r="1" spans="2:22" ht="24.7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s="6" customFormat="1" ht="19.5" customHeight="1">
      <c r="A2" s="17"/>
      <c r="B2" s="18"/>
      <c r="C2" s="19"/>
      <c r="D2" s="19"/>
      <c r="E2" s="19"/>
      <c r="F2" s="19"/>
      <c r="G2" s="506" t="s">
        <v>150</v>
      </c>
      <c r="H2" s="507"/>
      <c r="I2" s="507"/>
      <c r="J2" s="507"/>
      <c r="K2" s="507"/>
      <c r="L2" s="507"/>
      <c r="M2" s="507"/>
      <c r="N2" s="507"/>
      <c r="O2" s="507"/>
      <c r="P2" s="507"/>
      <c r="Q2" s="19"/>
      <c r="R2" s="19"/>
      <c r="S2" s="19"/>
      <c r="T2" s="19"/>
      <c r="U2" s="20"/>
      <c r="V2" s="17"/>
    </row>
    <row r="3" spans="1:22" s="6" customFormat="1" ht="19.5" customHeight="1">
      <c r="A3" s="17"/>
      <c r="B3" s="21"/>
      <c r="C3" s="17"/>
      <c r="D3" s="17"/>
      <c r="E3" s="17"/>
      <c r="F3" s="17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17"/>
      <c r="R3" s="17"/>
      <c r="S3" s="17"/>
      <c r="T3" s="17"/>
      <c r="U3" s="22"/>
      <c r="V3" s="17"/>
    </row>
    <row r="4" spans="1:22" s="6" customFormat="1" ht="19.5" customHeight="1">
      <c r="A4" s="17"/>
      <c r="B4" s="21"/>
      <c r="C4" s="17"/>
      <c r="D4" s="17"/>
      <c r="E4" s="17"/>
      <c r="F4" s="17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17"/>
      <c r="R4" s="17"/>
      <c r="S4" s="17"/>
      <c r="T4" s="17"/>
      <c r="U4" s="22"/>
      <c r="V4" s="17"/>
    </row>
    <row r="5" spans="1:22" s="6" customFormat="1" ht="19.5" customHeight="1" thickBot="1">
      <c r="A5" s="17"/>
      <c r="B5" s="23"/>
      <c r="C5" s="24"/>
      <c r="D5" s="24"/>
      <c r="E5" s="24"/>
      <c r="F5" s="24"/>
      <c r="G5" s="509" t="str">
        <f>CONCATENATE($N$50," ",VERİLER!$K$9," ",$O$50)</f>
        <v>[ 2009 - 2. DÖNEM ]</v>
      </c>
      <c r="H5" s="510"/>
      <c r="I5" s="510"/>
      <c r="J5" s="510"/>
      <c r="K5" s="510"/>
      <c r="L5" s="510"/>
      <c r="M5" s="510"/>
      <c r="N5" s="510"/>
      <c r="O5" s="510"/>
      <c r="P5" s="510"/>
      <c r="Q5" s="24"/>
      <c r="R5" s="24"/>
      <c r="S5" s="24"/>
      <c r="T5" s="24"/>
      <c r="U5" s="25"/>
      <c r="V5" s="17"/>
    </row>
    <row r="6" spans="1:22" s="6" customFormat="1" ht="19.5" customHeight="1" thickBot="1">
      <c r="A6" s="17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511">
        <f ca="1">TODAY()</f>
        <v>39994</v>
      </c>
      <c r="Q6" s="511"/>
      <c r="R6" s="16"/>
      <c r="S6" s="10"/>
      <c r="T6" s="10"/>
      <c r="U6" s="12"/>
      <c r="V6" s="17"/>
    </row>
    <row r="7" spans="1:22" s="7" customFormat="1" ht="34.5" customHeight="1">
      <c r="A7" s="28"/>
      <c r="B7" s="30"/>
      <c r="C7" s="31"/>
      <c r="D7" s="497" t="s">
        <v>107</v>
      </c>
      <c r="E7" s="498"/>
      <c r="F7" s="498"/>
      <c r="G7" s="498"/>
      <c r="H7" s="498"/>
      <c r="I7" s="498"/>
      <c r="J7" s="498"/>
      <c r="K7" s="499"/>
      <c r="L7" s="101"/>
      <c r="M7" s="497" t="s">
        <v>108</v>
      </c>
      <c r="N7" s="500"/>
      <c r="O7" s="500"/>
      <c r="P7" s="500"/>
      <c r="Q7" s="500"/>
      <c r="R7" s="500"/>
      <c r="S7" s="501"/>
      <c r="T7" s="34"/>
      <c r="U7" s="35"/>
      <c r="V7" s="28"/>
    </row>
    <row r="8" spans="1:22" s="6" customFormat="1" ht="16.5" thickBot="1">
      <c r="A8" s="17"/>
      <c r="B8" s="11"/>
      <c r="C8" s="10"/>
      <c r="D8" s="512" t="str">
        <f>CONCATENATE("BÖLGE KATSAYISI  ",VERİLER!$L$9,"  ALINMIŞTIR")</f>
        <v>BÖLGE KATSAYISI  0,6  ALINMIŞTIR</v>
      </c>
      <c r="E8" s="513"/>
      <c r="F8" s="513"/>
      <c r="G8" s="513"/>
      <c r="H8" s="513"/>
      <c r="I8" s="513"/>
      <c r="J8" s="513"/>
      <c r="K8" s="514"/>
      <c r="L8" s="102"/>
      <c r="M8" s="502" t="str">
        <f>VERİLER!$L$24</f>
        <v>[ 01 Temmuz - 31 Aralık 2009 Tarihleri Arasında Geçerlidir ]</v>
      </c>
      <c r="N8" s="503"/>
      <c r="O8" s="503"/>
      <c r="P8" s="503"/>
      <c r="Q8" s="503"/>
      <c r="R8" s="503"/>
      <c r="S8" s="504"/>
      <c r="T8" s="36"/>
      <c r="U8" s="12"/>
      <c r="V8" s="17"/>
    </row>
    <row r="9" spans="1:22" s="6" customFormat="1" ht="10.5" customHeight="1">
      <c r="A9" s="17"/>
      <c r="B9" s="11"/>
      <c r="C9" s="10"/>
      <c r="D9" s="60"/>
      <c r="E9" s="61"/>
      <c r="F9" s="61"/>
      <c r="G9" s="61"/>
      <c r="H9" s="61"/>
      <c r="I9" s="61"/>
      <c r="J9" s="62"/>
      <c r="K9" s="63"/>
      <c r="L9" s="102"/>
      <c r="M9" s="105"/>
      <c r="N9" s="106"/>
      <c r="O9" s="106"/>
      <c r="P9" s="106"/>
      <c r="Q9" s="106"/>
      <c r="R9" s="106"/>
      <c r="S9" s="115"/>
      <c r="T9" s="10"/>
      <c r="U9" s="12"/>
      <c r="V9" s="17"/>
    </row>
    <row r="10" spans="1:22" s="6" customFormat="1" ht="16.5">
      <c r="A10" s="17"/>
      <c r="B10" s="11"/>
      <c r="C10" s="10"/>
      <c r="D10" s="64"/>
      <c r="E10" s="496" t="s">
        <v>148</v>
      </c>
      <c r="F10" s="496"/>
      <c r="G10" s="496"/>
      <c r="H10" s="496"/>
      <c r="I10" s="65"/>
      <c r="J10" s="121">
        <v>250</v>
      </c>
      <c r="K10" s="66"/>
      <c r="L10" s="102"/>
      <c r="M10" s="107"/>
      <c r="N10" s="451" t="s">
        <v>89</v>
      </c>
      <c r="O10" s="451"/>
      <c r="P10" s="451"/>
      <c r="Q10" s="505">
        <f>IF($F$71=1,0,(IF($F$52=1,0,(ROUND(IF($J$15="VAR",((IF($J$17="YOK",HESAPLAR!$E$19*'ANA SAYFA'!$J$19,HESAPLAR!$E$23))),IF($J$15="YOK",0,0))*$H$96,0)))))</f>
        <v>495</v>
      </c>
      <c r="R10" s="505"/>
      <c r="S10" s="117"/>
      <c r="T10" s="10"/>
      <c r="U10" s="12"/>
      <c r="V10" s="17"/>
    </row>
    <row r="11" spans="1:22" s="6" customFormat="1" ht="15.75">
      <c r="A11" s="17"/>
      <c r="B11" s="11"/>
      <c r="C11" s="10"/>
      <c r="D11" s="64"/>
      <c r="E11" s="129"/>
      <c r="F11" s="129"/>
      <c r="G11" s="130"/>
      <c r="H11" s="130"/>
      <c r="I11" s="67"/>
      <c r="J11" s="68"/>
      <c r="K11" s="66"/>
      <c r="L11" s="102"/>
      <c r="M11" s="107"/>
      <c r="N11" s="451" t="s">
        <v>90</v>
      </c>
      <c r="O11" s="451"/>
      <c r="P11" s="451"/>
      <c r="Q11" s="494">
        <f>Q10*0.18</f>
        <v>89.1</v>
      </c>
      <c r="R11" s="494"/>
      <c r="S11" s="117"/>
      <c r="T11" s="10"/>
      <c r="U11" s="12"/>
      <c r="V11" s="17"/>
    </row>
    <row r="12" spans="1:22" s="6" customFormat="1" ht="15.75">
      <c r="A12" s="17"/>
      <c r="B12" s="11"/>
      <c r="C12" s="10"/>
      <c r="D12" s="64"/>
      <c r="E12" s="496" t="s">
        <v>147</v>
      </c>
      <c r="F12" s="496"/>
      <c r="G12" s="496"/>
      <c r="H12" s="496"/>
      <c r="I12" s="65"/>
      <c r="J12" s="69">
        <f>G52</f>
        <v>2</v>
      </c>
      <c r="K12" s="66"/>
      <c r="L12" s="102"/>
      <c r="M12" s="107"/>
      <c r="N12" s="451" t="s">
        <v>91</v>
      </c>
      <c r="O12" s="451"/>
      <c r="P12" s="451"/>
      <c r="Q12" s="492">
        <f>SUM(Q10:Q11)</f>
        <v>584.1</v>
      </c>
      <c r="R12" s="492"/>
      <c r="S12" s="117"/>
      <c r="T12" s="10"/>
      <c r="U12" s="12"/>
      <c r="V12" s="17"/>
    </row>
    <row r="13" spans="1:22" s="6" customFormat="1" ht="15.75">
      <c r="A13" s="17"/>
      <c r="B13" s="11"/>
      <c r="C13" s="10"/>
      <c r="D13" s="64"/>
      <c r="E13" s="128"/>
      <c r="F13" s="128"/>
      <c r="G13" s="128"/>
      <c r="H13" s="128"/>
      <c r="I13" s="65"/>
      <c r="J13" s="123"/>
      <c r="K13" s="66"/>
      <c r="L13" s="102"/>
      <c r="M13" s="107"/>
      <c r="N13" s="134" t="str">
        <f>IF($F$52=1,"Yapı Maliyet Sınıfı Seçiniz",(IF($H$96=1,IF($H$70=1,"Proje Benzerlik Durumu Seçiniz",IF($F$66=1,$E$66,IF($F$66=2,$N$14,"Proje Bedeli Hesaplanmadı"))),"İşlem Seçimi Yapınız")))</f>
        <v>PB:( BİA= 250 m² ; YMS: 2 ; BD: VAR ; BS: 1 ) - Kriterleri ile Hesaplandı</v>
      </c>
      <c r="O13" s="124"/>
      <c r="P13" s="124"/>
      <c r="Q13" s="124"/>
      <c r="R13" s="124"/>
      <c r="S13" s="117"/>
      <c r="T13" s="10"/>
      <c r="U13" s="12"/>
      <c r="V13" s="17"/>
    </row>
    <row r="14" spans="1:22" s="6" customFormat="1" ht="15" hidden="1">
      <c r="A14" s="17"/>
      <c r="B14" s="11"/>
      <c r="C14" s="10"/>
      <c r="D14" s="64"/>
      <c r="E14" s="130"/>
      <c r="F14" s="130"/>
      <c r="G14" s="130"/>
      <c r="H14" s="130"/>
      <c r="I14" s="70"/>
      <c r="J14" s="68"/>
      <c r="K14" s="66"/>
      <c r="L14" s="102"/>
      <c r="M14" s="107"/>
      <c r="N14" s="281" t="str">
        <f>IF(H70=1,0,CONCATENATE("PB:( BİA= ",R14," m² ; YMS: ",J12," ; BD: ",J17," ; BS: ",J19," ) - Kriterleri ile Hesaplandı"))</f>
        <v>PB:( BİA= 250 m² ; YMS: 2 ; BD: VAR ; BS: 1 ) - Kriterleri ile Hesaplandı</v>
      </c>
      <c r="O14" s="281"/>
      <c r="P14" s="281"/>
      <c r="Q14" s="281"/>
      <c r="R14" s="109">
        <f>IF($J$10&lt;VERİLER!$L$5,VERİLER!$L$5,$J$10)</f>
        <v>250</v>
      </c>
      <c r="S14" s="117"/>
      <c r="T14" s="10"/>
      <c r="U14" s="12"/>
      <c r="V14" s="17"/>
    </row>
    <row r="15" spans="1:22" s="6" customFormat="1" ht="15.75">
      <c r="A15" s="17"/>
      <c r="B15" s="11"/>
      <c r="C15" s="10"/>
      <c r="D15" s="64"/>
      <c r="E15" s="496" t="s">
        <v>132</v>
      </c>
      <c r="F15" s="496"/>
      <c r="G15" s="496"/>
      <c r="H15" s="496"/>
      <c r="I15" s="65"/>
      <c r="J15" s="71" t="str">
        <f>$G$66</f>
        <v>VAR</v>
      </c>
      <c r="K15" s="66"/>
      <c r="L15" s="102"/>
      <c r="M15" s="107"/>
      <c r="N15" s="136">
        <f>IF($Q$10=0,0,IF($J$10&lt;VERİLER!$L$5,CONCATENATE("Not: Asgari İnşaat Alanı ",VERİLER!$L$5," m² Hesaplandı"),0))</f>
        <v>0</v>
      </c>
      <c r="O15" s="109"/>
      <c r="P15" s="109"/>
      <c r="Q15" s="116"/>
      <c r="R15" s="116"/>
      <c r="S15" s="117"/>
      <c r="T15" s="10"/>
      <c r="U15" s="12"/>
      <c r="V15" s="17"/>
    </row>
    <row r="16" spans="1:22" s="6" customFormat="1" ht="15">
      <c r="A16" s="17"/>
      <c r="B16" s="11"/>
      <c r="C16" s="10"/>
      <c r="D16" s="64"/>
      <c r="E16" s="130"/>
      <c r="F16" s="130"/>
      <c r="G16" s="130"/>
      <c r="H16" s="130"/>
      <c r="I16" s="70"/>
      <c r="J16" s="68"/>
      <c r="K16" s="66"/>
      <c r="L16" s="102"/>
      <c r="M16" s="107"/>
      <c r="N16" s="133"/>
      <c r="O16" s="109"/>
      <c r="P16" s="109"/>
      <c r="Q16" s="116"/>
      <c r="R16" s="116"/>
      <c r="S16" s="117"/>
      <c r="T16" s="10"/>
      <c r="U16" s="12"/>
      <c r="V16" s="17"/>
    </row>
    <row r="17" spans="1:22" s="6" customFormat="1" ht="15.75">
      <c r="A17" s="17"/>
      <c r="B17" s="11"/>
      <c r="C17" s="10"/>
      <c r="D17" s="64"/>
      <c r="E17" s="496" t="s">
        <v>115</v>
      </c>
      <c r="F17" s="496"/>
      <c r="G17" s="496"/>
      <c r="H17" s="496"/>
      <c r="I17" s="65"/>
      <c r="J17" s="71" t="str">
        <f>$G$71</f>
        <v>VAR</v>
      </c>
      <c r="K17" s="66"/>
      <c r="L17" s="102"/>
      <c r="M17" s="107"/>
      <c r="N17" s="451" t="s">
        <v>92</v>
      </c>
      <c r="O17" s="451"/>
      <c r="P17" s="451"/>
      <c r="Q17" s="505">
        <f>IF(F71=1,0,(IF($F$66=1,0,(IF($F$52=1,0,(ROUND(IF($H$96=1,IF($F$81=2,HESAPLAR!$H$23,0),0),0)))))))</f>
        <v>495</v>
      </c>
      <c r="R17" s="505"/>
      <c r="S17" s="117"/>
      <c r="T17" s="10"/>
      <c r="U17" s="12"/>
      <c r="V17" s="17"/>
    </row>
    <row r="18" spans="1:22" s="6" customFormat="1" ht="15.75">
      <c r="A18" s="17"/>
      <c r="B18" s="11"/>
      <c r="C18" s="10"/>
      <c r="D18" s="64"/>
      <c r="E18" s="128"/>
      <c r="F18" s="128"/>
      <c r="G18" s="128"/>
      <c r="H18" s="128"/>
      <c r="I18" s="65"/>
      <c r="J18" s="72"/>
      <c r="K18" s="66"/>
      <c r="L18" s="102"/>
      <c r="M18" s="107"/>
      <c r="N18" s="451" t="s">
        <v>93</v>
      </c>
      <c r="O18" s="451"/>
      <c r="P18" s="451"/>
      <c r="Q18" s="494">
        <f>Q17*0.18</f>
        <v>89.1</v>
      </c>
      <c r="R18" s="494"/>
      <c r="S18" s="117"/>
      <c r="T18" s="10"/>
      <c r="U18" s="12"/>
      <c r="V18" s="17"/>
    </row>
    <row r="19" spans="1:22" s="6" customFormat="1" ht="15.75">
      <c r="A19" s="17"/>
      <c r="B19" s="11"/>
      <c r="C19" s="10"/>
      <c r="D19" s="64"/>
      <c r="E19" s="496" t="s">
        <v>116</v>
      </c>
      <c r="F19" s="496"/>
      <c r="G19" s="496"/>
      <c r="H19" s="496"/>
      <c r="I19" s="65"/>
      <c r="J19" s="122">
        <v>1</v>
      </c>
      <c r="K19" s="66"/>
      <c r="L19" s="102"/>
      <c r="M19" s="107"/>
      <c r="N19" s="451" t="s">
        <v>94</v>
      </c>
      <c r="O19" s="451"/>
      <c r="P19" s="451"/>
      <c r="Q19" s="492">
        <f>SUM(Q17:Q18)</f>
        <v>584.1</v>
      </c>
      <c r="R19" s="492"/>
      <c r="S19" s="117"/>
      <c r="T19" s="10"/>
      <c r="U19" s="12"/>
      <c r="V19" s="17"/>
    </row>
    <row r="20" spans="1:22" s="6" customFormat="1" ht="15.75">
      <c r="A20" s="17"/>
      <c r="B20" s="11"/>
      <c r="C20" s="10"/>
      <c r="D20" s="64"/>
      <c r="E20" s="128"/>
      <c r="F20" s="128"/>
      <c r="G20" s="128"/>
      <c r="H20" s="128"/>
      <c r="I20" s="65"/>
      <c r="J20" s="65"/>
      <c r="K20" s="274"/>
      <c r="L20" s="102"/>
      <c r="M20" s="107"/>
      <c r="N20" s="135" t="str">
        <f>IF($F$71=1,"Proje Benzerlik Durumu Seçiniz",(IF($F$66=1,"Proje Durumu Seçiniz",(IF(F52=1,"Yapı Maliyet Sınıfı Seçiniz",(IF(F97=2,IF($F$81=1,"TUS Durumu Seçiniz",IF(F81=2,N21,"TUS Bedeli Hesaplanmadı")),"İşlem Seçimi Yapınız")))))))</f>
        <v>BİA= 250 m² BS: 1 (TUS Bedeli Hesaplamasında Benzerlik Durumu Dikkate Alınmaz )</v>
      </c>
      <c r="O20" s="124"/>
      <c r="P20" s="124"/>
      <c r="Q20" s="124"/>
      <c r="R20" s="124"/>
      <c r="S20" s="117"/>
      <c r="T20" s="10"/>
      <c r="U20" s="12"/>
      <c r="V20" s="17"/>
    </row>
    <row r="21" spans="1:22" s="6" customFormat="1" ht="15" hidden="1">
      <c r="A21" s="17"/>
      <c r="B21" s="11"/>
      <c r="C21" s="10"/>
      <c r="D21" s="64"/>
      <c r="E21" s="130"/>
      <c r="F21" s="130"/>
      <c r="G21" s="130"/>
      <c r="H21" s="130"/>
      <c r="I21" s="70"/>
      <c r="J21" s="68"/>
      <c r="K21" s="66"/>
      <c r="L21" s="102"/>
      <c r="M21" s="107"/>
      <c r="N21" s="109" t="str">
        <f>CONCATENATE("BİA= ",R14," m² BS: ",J19," (TUS Bedeli Hesaplamasında Benzerlik Durumu Dikkate Alınmaz )")</f>
        <v>BİA= 250 m² BS: 1 (TUS Bedeli Hesaplamasında Benzerlik Durumu Dikkate Alınmaz )</v>
      </c>
      <c r="O21" s="109"/>
      <c r="P21" s="109"/>
      <c r="Q21" s="120"/>
      <c r="R21" s="120"/>
      <c r="S21" s="117"/>
      <c r="T21" s="10"/>
      <c r="U21" s="12"/>
      <c r="V21" s="17"/>
    </row>
    <row r="22" spans="1:22" s="6" customFormat="1" ht="15.75">
      <c r="A22" s="17"/>
      <c r="B22" s="11"/>
      <c r="C22" s="10"/>
      <c r="D22" s="64"/>
      <c r="E22" s="496" t="s">
        <v>119</v>
      </c>
      <c r="F22" s="496"/>
      <c r="G22" s="496"/>
      <c r="H22" s="496"/>
      <c r="I22" s="65"/>
      <c r="J22" s="71" t="str">
        <f>$G$81</f>
        <v>VAR</v>
      </c>
      <c r="K22" s="66"/>
      <c r="L22" s="102"/>
      <c r="M22" s="107"/>
      <c r="N22" s="136">
        <f>IF(Q17=0,0,IF($J$10&lt;150,"Not: Asgari İnşaat Alanı 150 m² Hesaplandı",0))</f>
        <v>0</v>
      </c>
      <c r="O22" s="109"/>
      <c r="P22" s="109"/>
      <c r="Q22" s="120"/>
      <c r="R22" s="120"/>
      <c r="S22" s="117"/>
      <c r="T22" s="10"/>
      <c r="U22" s="12"/>
      <c r="V22" s="17"/>
    </row>
    <row r="23" spans="1:22" s="6" customFormat="1" ht="15.75">
      <c r="A23" s="17"/>
      <c r="B23" s="11"/>
      <c r="C23" s="10"/>
      <c r="D23" s="64"/>
      <c r="E23" s="128"/>
      <c r="F23" s="128"/>
      <c r="G23" s="128"/>
      <c r="H23" s="128"/>
      <c r="I23" s="65"/>
      <c r="J23" s="73"/>
      <c r="K23" s="66"/>
      <c r="L23" s="102"/>
      <c r="M23" s="107"/>
      <c r="N23" s="109"/>
      <c r="O23" s="109"/>
      <c r="P23" s="109"/>
      <c r="Q23" s="120"/>
      <c r="R23" s="120"/>
      <c r="S23" s="117"/>
      <c r="T23" s="10"/>
      <c r="U23" s="12"/>
      <c r="V23" s="17"/>
    </row>
    <row r="24" spans="1:22" s="6" customFormat="1" ht="15.75">
      <c r="A24" s="17"/>
      <c r="B24" s="11"/>
      <c r="C24" s="10"/>
      <c r="D24" s="64"/>
      <c r="E24" s="496" t="s">
        <v>125</v>
      </c>
      <c r="F24" s="496"/>
      <c r="G24" s="496"/>
      <c r="H24" s="496"/>
      <c r="I24" s="65"/>
      <c r="J24" s="71" t="str">
        <f>$G$81</f>
        <v>VAR</v>
      </c>
      <c r="K24" s="66"/>
      <c r="L24" s="102"/>
      <c r="M24" s="107"/>
      <c r="N24" s="451" t="s">
        <v>112</v>
      </c>
      <c r="O24" s="451"/>
      <c r="P24" s="451"/>
      <c r="Q24" s="493">
        <f>ROUND((IF($F$92=3,$J$29*HESAPLAR!$L$19,IF(F92=2,HESAPLAR!$L$23,0))*$H$85*$H$96),0)</f>
        <v>465</v>
      </c>
      <c r="R24" s="493"/>
      <c r="S24" s="117"/>
      <c r="T24" s="10"/>
      <c r="U24" s="12"/>
      <c r="V24" s="17"/>
    </row>
    <row r="25" spans="1:22" s="6" customFormat="1" ht="15.75">
      <c r="A25" s="17"/>
      <c r="B25" s="11"/>
      <c r="C25" s="10"/>
      <c r="D25" s="64"/>
      <c r="E25" s="131"/>
      <c r="F25" s="131"/>
      <c r="G25" s="131"/>
      <c r="H25" s="131"/>
      <c r="I25" s="74"/>
      <c r="J25" s="68"/>
      <c r="K25" s="66"/>
      <c r="L25" s="102"/>
      <c r="M25" s="107"/>
      <c r="N25" s="451" t="s">
        <v>145</v>
      </c>
      <c r="O25" s="451"/>
      <c r="P25" s="451"/>
      <c r="Q25" s="494">
        <f>Q24*0.18</f>
        <v>83.7</v>
      </c>
      <c r="R25" s="494"/>
      <c r="S25" s="117"/>
      <c r="T25" s="10"/>
      <c r="U25" s="12"/>
      <c r="V25" s="17"/>
    </row>
    <row r="26" spans="1:22" s="6" customFormat="1" ht="15.75">
      <c r="A26" s="17"/>
      <c r="B26" s="11"/>
      <c r="C26" s="10"/>
      <c r="D26" s="64"/>
      <c r="E26" s="496" t="s">
        <v>98</v>
      </c>
      <c r="F26" s="496"/>
      <c r="G26" s="496"/>
      <c r="H26" s="496"/>
      <c r="I26" s="75"/>
      <c r="J26" s="76"/>
      <c r="K26" s="66"/>
      <c r="L26" s="102"/>
      <c r="M26" s="107"/>
      <c r="N26" s="451" t="s">
        <v>138</v>
      </c>
      <c r="O26" s="451"/>
      <c r="P26" s="451"/>
      <c r="Q26" s="492">
        <f>SUM(Q24:Q25)</f>
        <v>548.7</v>
      </c>
      <c r="R26" s="492"/>
      <c r="S26" s="117"/>
      <c r="T26" s="10"/>
      <c r="U26" s="12"/>
      <c r="V26" s="17"/>
    </row>
    <row r="27" spans="1:22" s="6" customFormat="1" ht="15.75">
      <c r="A27" s="17"/>
      <c r="B27" s="11"/>
      <c r="C27" s="10"/>
      <c r="D27" s="64"/>
      <c r="E27" s="128"/>
      <c r="F27" s="128"/>
      <c r="G27" s="128"/>
      <c r="H27" s="128"/>
      <c r="I27" s="75"/>
      <c r="J27" s="76"/>
      <c r="K27" s="66"/>
      <c r="L27" s="102"/>
      <c r="M27" s="107"/>
      <c r="N27" s="135" t="str">
        <f>IF($F$97=2,IF($F$92=1,"Asansör Benzerlik Durumu Seçiniz",IF($F$86=1,"Asansör Avan Proje Seçimi Yapınız",IF($F$86=2,$N$28,"Asansör Avan Proje Bedeli Hesaplanmadı"))),"İşlem Seçimi Yapınız")</f>
        <v>AAPB=( APB: 465 TL ; ADET: 1 ;  ABD: VAR ) - Kriterleri ile Hesaplandı</v>
      </c>
      <c r="O27" s="125"/>
      <c r="P27" s="125"/>
      <c r="Q27" s="125"/>
      <c r="R27" s="125"/>
      <c r="S27" s="117"/>
      <c r="T27" s="10"/>
      <c r="U27" s="12"/>
      <c r="V27" s="17"/>
    </row>
    <row r="28" spans="1:22" s="6" customFormat="1" ht="15.75" hidden="1">
      <c r="A28" s="17"/>
      <c r="B28" s="11"/>
      <c r="C28" s="10"/>
      <c r="D28" s="64"/>
      <c r="E28" s="128"/>
      <c r="F28" s="128"/>
      <c r="G28" s="128"/>
      <c r="H28" s="128"/>
      <c r="I28" s="75"/>
      <c r="J28" s="76"/>
      <c r="K28" s="66"/>
      <c r="L28" s="102"/>
      <c r="M28" s="107"/>
      <c r="N28" s="110" t="str">
        <f>IF(J29=0,0,N30)</f>
        <v>AAPB=( APB: 465 TL ; ADET: 1 ;  ABD: VAR ) - Kriterleri ile Hesaplandı</v>
      </c>
      <c r="O28" s="111"/>
      <c r="P28" s="111"/>
      <c r="Q28" s="111"/>
      <c r="R28" s="111"/>
      <c r="S28" s="117"/>
      <c r="T28" s="10"/>
      <c r="U28" s="12"/>
      <c r="V28" s="17"/>
    </row>
    <row r="29" spans="1:22" s="6" customFormat="1" ht="15.75">
      <c r="A29" s="17"/>
      <c r="B29" s="11"/>
      <c r="C29" s="10"/>
      <c r="D29" s="64"/>
      <c r="E29" s="495" t="str">
        <f>CONCATENATE($J$103," ADEDİ SEÇİNİZ")</f>
        <v>İNSAN ve YÜK ASANSÖRÜ  ADEDİ SEÇİNİZ</v>
      </c>
      <c r="F29" s="495"/>
      <c r="G29" s="495"/>
      <c r="H29" s="495"/>
      <c r="I29" s="78"/>
      <c r="J29" s="122">
        <v>1</v>
      </c>
      <c r="K29" s="66"/>
      <c r="L29" s="102"/>
      <c r="M29" s="107"/>
      <c r="N29" s="110"/>
      <c r="O29" s="111"/>
      <c r="P29" s="111"/>
      <c r="Q29" s="111"/>
      <c r="R29" s="111"/>
      <c r="S29" s="117"/>
      <c r="T29" s="10"/>
      <c r="U29" s="12"/>
      <c r="V29" s="17"/>
    </row>
    <row r="30" spans="1:22" s="8" customFormat="1" ht="15.75" hidden="1">
      <c r="A30" s="29"/>
      <c r="B30" s="32"/>
      <c r="C30" s="33"/>
      <c r="D30" s="64"/>
      <c r="E30" s="127"/>
      <c r="F30" s="127"/>
      <c r="G30" s="127"/>
      <c r="H30" s="127"/>
      <c r="I30" s="77"/>
      <c r="J30" s="79"/>
      <c r="K30" s="66"/>
      <c r="L30" s="103"/>
      <c r="M30" s="112"/>
      <c r="N30" s="109" t="str">
        <f>CONCATENATE("AAPB=( APB: ",'ASGARİ ÜCRETLER'!$P$60," TL ; ADET: ",J29," ;  ABD: ",J32," ) - Kriterleri ile Hesaplandı")</f>
        <v>AAPB=( APB: 465 TL ; ADET: 1 ;  ABD: VAR ) - Kriterleri ile Hesaplandı</v>
      </c>
      <c r="O30" s="109"/>
      <c r="P30" s="109"/>
      <c r="Q30" s="116"/>
      <c r="R30" s="116"/>
      <c r="S30" s="118"/>
      <c r="T30" s="33"/>
      <c r="U30" s="37"/>
      <c r="V30" s="29"/>
    </row>
    <row r="31" spans="1:22" s="8" customFormat="1" ht="15.75">
      <c r="A31" s="29"/>
      <c r="B31" s="32"/>
      <c r="C31" s="33"/>
      <c r="D31" s="64"/>
      <c r="E31" s="127"/>
      <c r="F31" s="127"/>
      <c r="G31" s="127"/>
      <c r="H31" s="127"/>
      <c r="I31" s="77"/>
      <c r="J31" s="80"/>
      <c r="K31" s="81"/>
      <c r="L31" s="103"/>
      <c r="M31" s="112"/>
      <c r="N31" s="109"/>
      <c r="O31" s="109"/>
      <c r="P31" s="109"/>
      <c r="Q31" s="116"/>
      <c r="R31" s="116"/>
      <c r="S31" s="118"/>
      <c r="T31" s="33"/>
      <c r="U31" s="37"/>
      <c r="V31" s="29"/>
    </row>
    <row r="32" spans="1:22" s="6" customFormat="1" ht="15.75">
      <c r="A32" s="17"/>
      <c r="B32" s="11"/>
      <c r="C32" s="10"/>
      <c r="D32" s="64"/>
      <c r="E32" s="452" t="s">
        <v>139</v>
      </c>
      <c r="F32" s="452"/>
      <c r="G32" s="452"/>
      <c r="H32" s="452"/>
      <c r="I32" s="82"/>
      <c r="J32" s="69" t="str">
        <f>$G$92</f>
        <v>VAR</v>
      </c>
      <c r="K32" s="66"/>
      <c r="L32" s="102"/>
      <c r="M32" s="107"/>
      <c r="N32" s="451" t="s">
        <v>104</v>
      </c>
      <c r="O32" s="451"/>
      <c r="P32" s="451"/>
      <c r="Q32" s="505">
        <f>(Q10+Q17+Q24)</f>
        <v>1455</v>
      </c>
      <c r="R32" s="505"/>
      <c r="S32" s="117"/>
      <c r="T32" s="10"/>
      <c r="U32" s="12"/>
      <c r="V32" s="17"/>
    </row>
    <row r="33" spans="1:22" s="6" customFormat="1" ht="15.75">
      <c r="A33" s="17"/>
      <c r="B33" s="11"/>
      <c r="C33" s="10"/>
      <c r="D33" s="64"/>
      <c r="E33" s="83"/>
      <c r="F33" s="83"/>
      <c r="G33" s="83"/>
      <c r="H33" s="83"/>
      <c r="I33" s="83"/>
      <c r="J33" s="76"/>
      <c r="K33" s="84"/>
      <c r="L33" s="102"/>
      <c r="M33" s="107"/>
      <c r="N33" s="451" t="s">
        <v>105</v>
      </c>
      <c r="O33" s="451"/>
      <c r="P33" s="451"/>
      <c r="Q33" s="494">
        <f>Q32*0.18</f>
        <v>261.9</v>
      </c>
      <c r="R33" s="494"/>
      <c r="S33" s="117"/>
      <c r="T33" s="10"/>
      <c r="U33" s="12"/>
      <c r="V33" s="17"/>
    </row>
    <row r="34" spans="1:22" s="6" customFormat="1" ht="15.75">
      <c r="A34" s="17"/>
      <c r="B34" s="11"/>
      <c r="C34" s="10"/>
      <c r="D34" s="64"/>
      <c r="E34" s="132"/>
      <c r="F34" s="132"/>
      <c r="G34" s="132"/>
      <c r="H34" s="132"/>
      <c r="I34" s="85"/>
      <c r="J34" s="72"/>
      <c r="K34" s="66"/>
      <c r="L34" s="102"/>
      <c r="M34" s="107"/>
      <c r="N34" s="451" t="s">
        <v>106</v>
      </c>
      <c r="O34" s="451"/>
      <c r="P34" s="530"/>
      <c r="Q34" s="492">
        <f>SUM(Q32:Q33)</f>
        <v>1716.9</v>
      </c>
      <c r="R34" s="492"/>
      <c r="S34" s="117"/>
      <c r="T34" s="10"/>
      <c r="U34" s="12"/>
      <c r="V34" s="17"/>
    </row>
    <row r="35" spans="1:22" s="6" customFormat="1" ht="15.75">
      <c r="A35" s="17"/>
      <c r="B35" s="11"/>
      <c r="C35" s="10"/>
      <c r="D35" s="64"/>
      <c r="E35" s="496" t="s">
        <v>137</v>
      </c>
      <c r="F35" s="496"/>
      <c r="G35" s="496"/>
      <c r="H35" s="496"/>
      <c r="I35" s="65"/>
      <c r="J35" s="71" t="str">
        <f>$G$66</f>
        <v>VAR</v>
      </c>
      <c r="K35" s="66"/>
      <c r="L35" s="102"/>
      <c r="M35" s="107"/>
      <c r="N35" s="283" t="str">
        <f>IF($F$97=1,"İşlem Seçimi Yapınız",IF(Q34=0,"PB, TB ve AAPB Hesaplanmadı",(CONCATENATE("NOT : ",$P$56," Hesaplamalarında Kr 'lar TL 'ye Yuvarlanmıştır."))))</f>
        <v>NOT : PB TB AAPB Hesaplamalarında Kr 'lar TL 'ye Yuvarlanmıştır.</v>
      </c>
      <c r="O35" s="108"/>
      <c r="P35" s="108"/>
      <c r="Q35" s="108"/>
      <c r="R35" s="108"/>
      <c r="S35" s="117"/>
      <c r="T35" s="10"/>
      <c r="U35" s="12"/>
      <c r="V35" s="17"/>
    </row>
    <row r="36" spans="1:22" s="6" customFormat="1" ht="16.5" thickBot="1">
      <c r="A36" s="17"/>
      <c r="B36" s="11"/>
      <c r="C36" s="10"/>
      <c r="D36" s="86"/>
      <c r="E36" s="87"/>
      <c r="F36" s="87"/>
      <c r="G36" s="87"/>
      <c r="H36" s="87"/>
      <c r="I36" s="87"/>
      <c r="J36" s="88"/>
      <c r="K36" s="89"/>
      <c r="L36" s="102"/>
      <c r="M36" s="113"/>
      <c r="N36" s="284" t="str">
        <f>IF(Q34=0,"",(IF($F$97=1,"",IF($O$56="","",CONCATENATE(N57," ",$O$56," ",$N$56)))))</f>
        <v>    </v>
      </c>
      <c r="O36" s="114"/>
      <c r="P36" s="114"/>
      <c r="Q36" s="114"/>
      <c r="R36" s="114"/>
      <c r="S36" s="119"/>
      <c r="T36" s="10"/>
      <c r="U36" s="12"/>
      <c r="V36" s="17"/>
    </row>
    <row r="37" spans="1:22" s="6" customFormat="1" ht="9.75" customHeight="1" thickBot="1">
      <c r="A37" s="17"/>
      <c r="B37" s="11"/>
      <c r="C37" s="10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4"/>
      <c r="R37" s="104"/>
      <c r="S37" s="102"/>
      <c r="T37" s="10"/>
      <c r="U37" s="12"/>
      <c r="V37" s="17"/>
    </row>
    <row r="38" spans="1:22" s="6" customFormat="1" ht="12.75">
      <c r="A38" s="17"/>
      <c r="B38" s="11"/>
      <c r="C38" s="10"/>
      <c r="D38" s="515" t="s">
        <v>109</v>
      </c>
      <c r="E38" s="516"/>
      <c r="F38" s="516"/>
      <c r="G38" s="516"/>
      <c r="H38" s="516"/>
      <c r="I38" s="516"/>
      <c r="J38" s="516"/>
      <c r="K38" s="517"/>
      <c r="L38" s="102"/>
      <c r="M38" s="90"/>
      <c r="N38" s="91"/>
      <c r="O38" s="91"/>
      <c r="P38" s="91"/>
      <c r="Q38" s="91"/>
      <c r="R38" s="91"/>
      <c r="S38" s="95"/>
      <c r="T38" s="10"/>
      <c r="U38" s="12"/>
      <c r="V38" s="17"/>
    </row>
    <row r="39" spans="1:22" s="6" customFormat="1" ht="12.75">
      <c r="A39" s="17"/>
      <c r="B39" s="11"/>
      <c r="C39" s="10"/>
      <c r="D39" s="518"/>
      <c r="E39" s="519"/>
      <c r="F39" s="519"/>
      <c r="G39" s="519"/>
      <c r="H39" s="519"/>
      <c r="I39" s="519"/>
      <c r="J39" s="519"/>
      <c r="K39" s="520"/>
      <c r="L39" s="102"/>
      <c r="M39" s="92"/>
      <c r="N39" s="94"/>
      <c r="O39" s="94"/>
      <c r="P39" s="94"/>
      <c r="Q39" s="94"/>
      <c r="R39" s="94"/>
      <c r="S39" s="96"/>
      <c r="T39" s="10"/>
      <c r="U39" s="12"/>
      <c r="V39" s="17"/>
    </row>
    <row r="40" spans="1:22" s="6" customFormat="1" ht="15.75">
      <c r="A40" s="17"/>
      <c r="B40" s="11"/>
      <c r="C40" s="10"/>
      <c r="D40" s="518"/>
      <c r="E40" s="519"/>
      <c r="F40" s="519"/>
      <c r="G40" s="519"/>
      <c r="H40" s="519"/>
      <c r="I40" s="519"/>
      <c r="J40" s="519"/>
      <c r="K40" s="520"/>
      <c r="L40" s="102"/>
      <c r="M40" s="92"/>
      <c r="N40" s="526" t="s">
        <v>141</v>
      </c>
      <c r="O40" s="527"/>
      <c r="P40" s="527"/>
      <c r="Q40" s="525">
        <f>IF($F$52=1,0,(ROUND(IF($H$96=1,IF($J$15="VAR",((IF($J$17="YOK",HESAPLAR!$E$43*'ANA SAYFA'!$J$19,HESAPLAR!$E$47))),IF($J$15="YOK",0,0)),0),0)))</f>
        <v>20</v>
      </c>
      <c r="R40" s="525"/>
      <c r="S40" s="96"/>
      <c r="T40" s="10"/>
      <c r="U40" s="12"/>
      <c r="V40" s="17"/>
    </row>
    <row r="41" spans="1:22" s="6" customFormat="1" ht="15.75">
      <c r="A41" s="17"/>
      <c r="B41" s="11"/>
      <c r="C41" s="10"/>
      <c r="D41" s="518"/>
      <c r="E41" s="519"/>
      <c r="F41" s="519"/>
      <c r="G41" s="519"/>
      <c r="H41" s="519"/>
      <c r="I41" s="519"/>
      <c r="J41" s="519"/>
      <c r="K41" s="520"/>
      <c r="L41" s="102"/>
      <c r="M41" s="92"/>
      <c r="N41" s="526" t="s">
        <v>142</v>
      </c>
      <c r="O41" s="527"/>
      <c r="P41" s="527"/>
      <c r="Q41" s="494">
        <f>IF($F$52=1,0,(ROUND(IF($H$96=1,IF($F$81=2,(HESAPLAR!$H$47),0),0),0)))</f>
        <v>20</v>
      </c>
      <c r="R41" s="494"/>
      <c r="S41" s="96"/>
      <c r="T41" s="10"/>
      <c r="U41" s="12"/>
      <c r="V41" s="17"/>
    </row>
    <row r="42" spans="1:22" s="6" customFormat="1" ht="15.75">
      <c r="A42" s="17"/>
      <c r="B42" s="11"/>
      <c r="C42" s="10"/>
      <c r="D42" s="524" t="s">
        <v>224</v>
      </c>
      <c r="E42" s="522"/>
      <c r="F42" s="522"/>
      <c r="G42" s="522"/>
      <c r="H42" s="522"/>
      <c r="I42" s="522"/>
      <c r="J42" s="522"/>
      <c r="K42" s="523"/>
      <c r="L42" s="102"/>
      <c r="M42" s="92"/>
      <c r="N42" s="526" t="s">
        <v>143</v>
      </c>
      <c r="O42" s="527"/>
      <c r="P42" s="529"/>
      <c r="Q42" s="505">
        <f>ROUND(IF($H$96=1,IF($F$86=2,((IF($J$32="YOK",HESAPLAR!$L$43*'ANA SAYFA'!$J$29,HESAPLAR!$L$47))*$H$85),0),0),0)</f>
        <v>17</v>
      </c>
      <c r="R42" s="505"/>
      <c r="S42" s="96"/>
      <c r="T42" s="10"/>
      <c r="U42" s="12"/>
      <c r="V42" s="17"/>
    </row>
    <row r="43" spans="1:22" s="6" customFormat="1" ht="15">
      <c r="A43" s="17"/>
      <c r="B43" s="11"/>
      <c r="C43" s="10"/>
      <c r="D43" s="521"/>
      <c r="E43" s="522"/>
      <c r="F43" s="522"/>
      <c r="G43" s="522"/>
      <c r="H43" s="522"/>
      <c r="I43" s="522"/>
      <c r="J43" s="522"/>
      <c r="K43" s="523"/>
      <c r="L43" s="102"/>
      <c r="M43" s="92"/>
      <c r="N43" s="528" t="s">
        <v>146</v>
      </c>
      <c r="O43" s="528"/>
      <c r="P43" s="528"/>
      <c r="Q43" s="492">
        <f>SUM(Q40:Q42)</f>
        <v>57</v>
      </c>
      <c r="R43" s="492"/>
      <c r="S43" s="96"/>
      <c r="T43" s="10"/>
      <c r="U43" s="12"/>
      <c r="V43" s="17"/>
    </row>
    <row r="44" spans="1:22" s="6" customFormat="1" ht="15.75">
      <c r="A44" s="17"/>
      <c r="B44" s="11"/>
      <c r="C44" s="10"/>
      <c r="D44" s="521" t="s">
        <v>110</v>
      </c>
      <c r="E44" s="522"/>
      <c r="F44" s="522"/>
      <c r="G44" s="522"/>
      <c r="H44" s="522"/>
      <c r="I44" s="522"/>
      <c r="J44" s="522"/>
      <c r="K44" s="523"/>
      <c r="L44" s="102"/>
      <c r="M44" s="92"/>
      <c r="N44" s="93" t="str">
        <f>IF($F$97=1,"İşlem Seçimi Yapınız",IF($Q$43=0,"PMDÜ, TMDÜ ve AAMDÜ Hesaplanmadı ",CONCATENATE("NOT : ",$P$62," Hesaplamalarında Kr 'lar TL 'ye Yuvarlanmıştır.")))</f>
        <v>NOT : PMDÜ TMDÜ AAMDÜ Hesaplamalarında Kr 'lar TL 'ye Yuvarlanmıştır.</v>
      </c>
      <c r="O44" s="94"/>
      <c r="P44" s="94"/>
      <c r="Q44" s="94"/>
      <c r="R44" s="94"/>
      <c r="S44" s="96"/>
      <c r="T44" s="10"/>
      <c r="U44" s="12"/>
      <c r="V44" s="17"/>
    </row>
    <row r="45" spans="1:22" s="6" customFormat="1" ht="15.75" customHeight="1" thickBot="1">
      <c r="A45" s="17"/>
      <c r="B45" s="11"/>
      <c r="C45" s="10"/>
      <c r="D45" s="531" t="s">
        <v>149</v>
      </c>
      <c r="E45" s="532"/>
      <c r="F45" s="532"/>
      <c r="G45" s="532"/>
      <c r="H45" s="532"/>
      <c r="I45" s="532"/>
      <c r="J45" s="532"/>
      <c r="K45" s="533"/>
      <c r="L45" s="102"/>
      <c r="M45" s="97"/>
      <c r="N45" s="98" t="str">
        <f>IF($Q$43=0,"",(CONCATENATE(N63," ",$O$62," ",N56)))</f>
        <v>    </v>
      </c>
      <c r="O45" s="99"/>
      <c r="P45" s="99"/>
      <c r="Q45" s="99"/>
      <c r="R45" s="99"/>
      <c r="S45" s="100"/>
      <c r="T45" s="10"/>
      <c r="U45" s="12"/>
      <c r="V45" s="17"/>
    </row>
    <row r="46" spans="1:22" s="6" customFormat="1" ht="9.75" customHeight="1">
      <c r="A46" s="17"/>
      <c r="B46" s="11"/>
      <c r="C46" s="10"/>
      <c r="D46" s="450" t="s">
        <v>225</v>
      </c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10"/>
      <c r="U46" s="12"/>
      <c r="V46" s="17"/>
    </row>
    <row r="47" spans="2:22" ht="9.75" customHeight="1" thickBot="1">
      <c r="B47" s="13"/>
      <c r="C47" s="14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14"/>
      <c r="U47" s="15"/>
      <c r="V47" s="22"/>
    </row>
    <row r="48" spans="2:22" ht="24.7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17"/>
    </row>
    <row r="49" spans="14:17" ht="19.5" customHeight="1" hidden="1">
      <c r="N49" s="9"/>
      <c r="O49" s="6"/>
      <c r="P49" s="6"/>
      <c r="Q49" s="6"/>
    </row>
    <row r="50" spans="1:16" s="39" customFormat="1" ht="19.5" customHeight="1" hidden="1">
      <c r="A50" s="38"/>
      <c r="M50" s="40"/>
      <c r="N50" s="41" t="s">
        <v>102</v>
      </c>
      <c r="O50" s="41" t="s">
        <v>103</v>
      </c>
      <c r="P50" s="41"/>
    </row>
    <row r="51" spans="1:16" s="39" customFormat="1" ht="19.5" customHeight="1" hidden="1">
      <c r="A51" s="38"/>
      <c r="C51" s="42"/>
      <c r="E51" s="453" t="s">
        <v>113</v>
      </c>
      <c r="F51" s="454"/>
      <c r="G51" s="449"/>
      <c r="M51" s="40"/>
      <c r="N51" s="282" t="s">
        <v>158</v>
      </c>
      <c r="O51" s="41"/>
      <c r="P51" s="41"/>
    </row>
    <row r="52" spans="1:16" s="39" customFormat="1" ht="19.5" customHeight="1" hidden="1">
      <c r="A52" s="38"/>
      <c r="C52" s="42"/>
      <c r="D52" s="42">
        <v>1</v>
      </c>
      <c r="E52" s="43" t="s">
        <v>114</v>
      </c>
      <c r="F52" s="44">
        <v>3</v>
      </c>
      <c r="G52" s="45">
        <f>LOOKUP($F$52,$D$52:$D$63,$E$52:$E$63)</f>
        <v>2</v>
      </c>
      <c r="H52" s="39">
        <f>IF($F$52=1,0,1)</f>
        <v>1</v>
      </c>
      <c r="M52" s="40"/>
      <c r="N52" s="282" t="s">
        <v>151</v>
      </c>
      <c r="O52" s="41"/>
      <c r="P52" s="41"/>
    </row>
    <row r="53" spans="1:18" s="39" customFormat="1" ht="19.5" customHeight="1" hidden="1">
      <c r="A53" s="38"/>
      <c r="C53" s="42"/>
      <c r="D53" s="42">
        <v>2</v>
      </c>
      <c r="E53" s="46">
        <v>1</v>
      </c>
      <c r="F53" s="44"/>
      <c r="G53" s="47"/>
      <c r="J53" s="39">
        <f>$F$66+$F$81+$F$86</f>
        <v>6</v>
      </c>
      <c r="M53" s="40"/>
      <c r="N53" s="41" t="s">
        <v>152</v>
      </c>
      <c r="O53" s="41">
        <f>IF($F$66=3,$N$53,"")</f>
      </c>
      <c r="P53" s="41" t="str">
        <f>IF($F$66=3,"",$N$53)</f>
        <v>PB</v>
      </c>
      <c r="Q53" s="41" t="s">
        <v>153</v>
      </c>
      <c r="R53" s="41"/>
    </row>
    <row r="54" spans="1:18" s="39" customFormat="1" ht="19.5" customHeight="1" hidden="1">
      <c r="A54" s="38"/>
      <c r="C54" s="42"/>
      <c r="D54" s="42">
        <v>3</v>
      </c>
      <c r="E54" s="46">
        <v>2</v>
      </c>
      <c r="F54" s="44"/>
      <c r="G54" s="47"/>
      <c r="M54" s="40"/>
      <c r="N54" s="41" t="s">
        <v>154</v>
      </c>
      <c r="O54" s="41">
        <f>IF($F$81=3,$N$54,"")</f>
      </c>
      <c r="P54" s="41" t="str">
        <f>IF(F81=3,"",$N$54)</f>
        <v>TB</v>
      </c>
      <c r="Q54" s="41" t="s">
        <v>155</v>
      </c>
      <c r="R54" s="41"/>
    </row>
    <row r="55" spans="1:18" s="39" customFormat="1" ht="19.5" customHeight="1" hidden="1">
      <c r="A55" s="38"/>
      <c r="C55" s="42"/>
      <c r="D55" s="42">
        <v>4</v>
      </c>
      <c r="E55" s="48" t="s">
        <v>14</v>
      </c>
      <c r="F55" s="44"/>
      <c r="G55" s="47"/>
      <c r="M55" s="40"/>
      <c r="N55" s="41" t="s">
        <v>156</v>
      </c>
      <c r="O55" s="41">
        <f>IF($F$86=3,$N$55,"")</f>
      </c>
      <c r="P55" s="41" t="str">
        <f>IF(F86=3,"",$N$55)</f>
        <v>AAPB</v>
      </c>
      <c r="Q55" s="41" t="s">
        <v>157</v>
      </c>
      <c r="R55" s="41"/>
    </row>
    <row r="56" spans="1:16" s="39" customFormat="1" ht="19.5" customHeight="1" hidden="1">
      <c r="A56" s="38"/>
      <c r="C56" s="42"/>
      <c r="D56" s="42">
        <v>5</v>
      </c>
      <c r="E56" s="48" t="s">
        <v>15</v>
      </c>
      <c r="F56" s="44"/>
      <c r="G56" s="47"/>
      <c r="M56" s="40"/>
      <c r="N56" s="41">
        <f>IF($J$53=6,"","Hesaplanmadı")</f>
      </c>
      <c r="O56" s="41" t="str">
        <f>CONCATENATE($O$53," ",$O$54," ",$O$55)</f>
        <v>  </v>
      </c>
      <c r="P56" s="41" t="str">
        <f>CONCATENATE($P$53," ",$P$54," ",$P$55)</f>
        <v>PB TB AAPB</v>
      </c>
    </row>
    <row r="57" spans="1:16" s="39" customFormat="1" ht="19.5" customHeight="1" hidden="1">
      <c r="A57" s="38"/>
      <c r="C57" s="42"/>
      <c r="D57" s="42">
        <v>6</v>
      </c>
      <c r="E57" s="48" t="s">
        <v>16</v>
      </c>
      <c r="F57" s="44"/>
      <c r="G57" s="47"/>
      <c r="M57" s="40"/>
      <c r="N57" s="41">
        <f>IF($J$53=6,"","NOT :")</f>
      </c>
      <c r="O57" s="41" t="str">
        <f>IF(O56="","",$O$56)</f>
        <v>  </v>
      </c>
      <c r="P57" s="41"/>
    </row>
    <row r="58" spans="1:16" s="39" customFormat="1" ht="19.5" customHeight="1" hidden="1">
      <c r="A58" s="38"/>
      <c r="C58" s="42"/>
      <c r="D58" s="42">
        <v>7</v>
      </c>
      <c r="E58" s="48" t="s">
        <v>17</v>
      </c>
      <c r="F58" s="44"/>
      <c r="G58" s="47"/>
      <c r="M58" s="40"/>
      <c r="N58" s="41"/>
      <c r="O58" s="41"/>
      <c r="P58" s="41"/>
    </row>
    <row r="59" spans="1:17" s="39" customFormat="1" ht="19.5" customHeight="1" hidden="1">
      <c r="A59" s="38"/>
      <c r="C59" s="42"/>
      <c r="D59" s="42">
        <v>8</v>
      </c>
      <c r="E59" s="48" t="s">
        <v>18</v>
      </c>
      <c r="F59" s="44"/>
      <c r="G59" s="47"/>
      <c r="M59" s="40"/>
      <c r="N59" s="41" t="s">
        <v>159</v>
      </c>
      <c r="O59" s="41">
        <f>IF($F$66=3,$N$59,"")</f>
      </c>
      <c r="P59" s="41" t="str">
        <f>IF($F$66=3,"",$N$59)</f>
        <v>PMDÜ</v>
      </c>
      <c r="Q59" s="41" t="s">
        <v>153</v>
      </c>
    </row>
    <row r="60" spans="1:17" s="39" customFormat="1" ht="19.5" customHeight="1" hidden="1">
      <c r="A60" s="38"/>
      <c r="C60" s="42"/>
      <c r="D60" s="42">
        <v>9</v>
      </c>
      <c r="E60" s="48" t="s">
        <v>19</v>
      </c>
      <c r="F60" s="44"/>
      <c r="G60" s="47"/>
      <c r="M60" s="40"/>
      <c r="N60" s="41" t="s">
        <v>160</v>
      </c>
      <c r="O60" s="41">
        <f>IF($F$81=3,$N$60,"")</f>
      </c>
      <c r="P60" s="41" t="str">
        <f>IF($F$81=3,"",$N$60)</f>
        <v>TMDÜ</v>
      </c>
      <c r="Q60" s="41" t="s">
        <v>155</v>
      </c>
    </row>
    <row r="61" spans="1:17" s="39" customFormat="1" ht="19.5" customHeight="1" hidden="1">
      <c r="A61" s="38"/>
      <c r="C61" s="42"/>
      <c r="D61" s="42">
        <v>10</v>
      </c>
      <c r="E61" s="48" t="s">
        <v>20</v>
      </c>
      <c r="F61" s="44"/>
      <c r="G61" s="49"/>
      <c r="M61" s="40"/>
      <c r="N61" s="41" t="s">
        <v>161</v>
      </c>
      <c r="O61" s="41">
        <f>IF($F$86=3,$N$61,"")</f>
      </c>
      <c r="P61" s="41" t="str">
        <f>IF(F86=3,"",$N$61)</f>
        <v>AAMDÜ</v>
      </c>
      <c r="Q61" s="41" t="s">
        <v>157</v>
      </c>
    </row>
    <row r="62" spans="1:16" s="39" customFormat="1" ht="19.5" customHeight="1" hidden="1">
      <c r="A62" s="38"/>
      <c r="C62" s="42"/>
      <c r="D62" s="42">
        <v>11</v>
      </c>
      <c r="E62" s="48" t="s">
        <v>21</v>
      </c>
      <c r="F62" s="44"/>
      <c r="G62" s="49"/>
      <c r="M62" s="40"/>
      <c r="N62" s="41">
        <f>IF($J$53=6,"","Hesaplanmadı")</f>
      </c>
      <c r="O62" s="41" t="str">
        <f>CONCATENATE($O$59," ",$O$60," ",$O$61)</f>
        <v>  </v>
      </c>
      <c r="P62" s="41" t="str">
        <f>CONCATENATE($P$59," ",$P$60," ",$P$61)</f>
        <v>PMDÜ TMDÜ AAMDÜ</v>
      </c>
    </row>
    <row r="63" spans="1:16" s="39" customFormat="1" ht="19.5" customHeight="1" hidden="1">
      <c r="A63" s="38"/>
      <c r="C63" s="42"/>
      <c r="D63" s="42">
        <v>12</v>
      </c>
      <c r="E63" s="48" t="s">
        <v>22</v>
      </c>
      <c r="F63" s="50"/>
      <c r="G63" s="51"/>
      <c r="M63" s="40"/>
      <c r="N63" s="41">
        <f>IF($J$53=6,"","NOT :")</f>
      </c>
      <c r="O63" s="41"/>
      <c r="P63" s="41"/>
    </row>
    <row r="64" spans="1:14" s="39" customFormat="1" ht="19.5" customHeight="1" hidden="1">
      <c r="A64" s="38"/>
      <c r="C64" s="42"/>
      <c r="D64" s="42"/>
      <c r="E64" s="42"/>
      <c r="F64" s="42"/>
      <c r="G64" s="42"/>
      <c r="M64" s="40"/>
      <c r="N64" s="389">
        <f>VERİLER!$X$18</f>
        <v>0</v>
      </c>
    </row>
    <row r="65" spans="1:14" s="39" customFormat="1" ht="19.5" customHeight="1" hidden="1">
      <c r="A65" s="38"/>
      <c r="C65" s="42"/>
      <c r="D65" s="42"/>
      <c r="E65" s="453" t="s">
        <v>133</v>
      </c>
      <c r="F65" s="454"/>
      <c r="G65" s="449"/>
      <c r="M65" s="40"/>
      <c r="N65" s="41"/>
    </row>
    <row r="66" spans="1:23" s="39" customFormat="1" ht="19.5" customHeight="1" hidden="1">
      <c r="A66" s="38"/>
      <c r="C66" s="42"/>
      <c r="D66" s="42">
        <v>1</v>
      </c>
      <c r="E66" s="43" t="s">
        <v>134</v>
      </c>
      <c r="F66" s="52">
        <v>2</v>
      </c>
      <c r="G66" s="45" t="str">
        <f>LOOKUP($F$66,$D$66:$D$68,$E$66:$E$68)</f>
        <v>VAR</v>
      </c>
      <c r="M66" s="40"/>
      <c r="N66" s="390"/>
      <c r="O66" s="391"/>
      <c r="P66" s="391"/>
      <c r="Q66" s="391"/>
      <c r="R66" s="391"/>
      <c r="S66" s="391"/>
      <c r="T66" s="391"/>
      <c r="U66" s="391"/>
      <c r="V66" s="391"/>
      <c r="W66" s="391"/>
    </row>
    <row r="67" spans="1:23" s="39" customFormat="1" ht="19.5" customHeight="1" hidden="1">
      <c r="A67" s="38"/>
      <c r="C67" s="42"/>
      <c r="D67" s="42">
        <v>2</v>
      </c>
      <c r="E67" s="46" t="s">
        <v>118</v>
      </c>
      <c r="F67" s="44"/>
      <c r="G67" s="47"/>
      <c r="M67" s="40"/>
      <c r="N67" s="391"/>
      <c r="O67" s="391"/>
      <c r="P67" s="391"/>
      <c r="Q67" s="391"/>
      <c r="R67" s="391"/>
      <c r="S67" s="391"/>
      <c r="T67" s="391"/>
      <c r="U67" s="391"/>
      <c r="V67" s="391"/>
      <c r="W67" s="391"/>
    </row>
    <row r="68" spans="1:23" s="39" customFormat="1" ht="19.5" customHeight="1" hidden="1">
      <c r="A68" s="38"/>
      <c r="C68" s="42"/>
      <c r="D68" s="42">
        <v>3</v>
      </c>
      <c r="E68" s="46" t="s">
        <v>111</v>
      </c>
      <c r="F68" s="50"/>
      <c r="G68" s="51"/>
      <c r="M68" s="40"/>
      <c r="N68" s="391"/>
      <c r="O68" s="391"/>
      <c r="P68" s="391"/>
      <c r="Q68" s="391"/>
      <c r="R68" s="391"/>
      <c r="S68" s="391"/>
      <c r="T68" s="391"/>
      <c r="U68" s="391"/>
      <c r="V68" s="391"/>
      <c r="W68" s="391"/>
    </row>
    <row r="69" spans="1:16" s="39" customFormat="1" ht="19.5" customHeight="1" hidden="1">
      <c r="A69" s="38"/>
      <c r="C69" s="42"/>
      <c r="D69" s="42"/>
      <c r="E69" s="42"/>
      <c r="F69" s="42"/>
      <c r="G69" s="42"/>
      <c r="M69" s="40"/>
      <c r="N69" s="41"/>
      <c r="O69" s="41"/>
      <c r="P69" s="41"/>
    </row>
    <row r="70" spans="1:16" s="39" customFormat="1" ht="19.5" customHeight="1" hidden="1">
      <c r="A70" s="38"/>
      <c r="D70" s="42"/>
      <c r="E70" s="453" t="s">
        <v>131</v>
      </c>
      <c r="F70" s="454"/>
      <c r="G70" s="449"/>
      <c r="H70" s="39">
        <f>IF($F$71=1,1,0)</f>
        <v>0</v>
      </c>
      <c r="M70" s="40"/>
      <c r="N70" s="41"/>
      <c r="O70" s="41"/>
      <c r="P70" s="41"/>
    </row>
    <row r="71" spans="1:16" s="39" customFormat="1" ht="19.5" customHeight="1" hidden="1">
      <c r="A71" s="38"/>
      <c r="D71" s="42">
        <v>1</v>
      </c>
      <c r="E71" s="43" t="s">
        <v>117</v>
      </c>
      <c r="F71" s="52">
        <v>2</v>
      </c>
      <c r="G71" s="45" t="str">
        <f>LOOKUP($F$71,$D$71:$D$73,$E$71:$E$73)</f>
        <v>VAR</v>
      </c>
      <c r="M71" s="40"/>
      <c r="N71" s="41"/>
      <c r="O71" s="41"/>
      <c r="P71" s="41"/>
    </row>
    <row r="72" spans="1:16" s="39" customFormat="1" ht="19.5" customHeight="1" hidden="1">
      <c r="A72" s="38"/>
      <c r="D72" s="42">
        <v>2</v>
      </c>
      <c r="E72" s="46" t="s">
        <v>118</v>
      </c>
      <c r="F72" s="44"/>
      <c r="G72" s="47"/>
      <c r="M72" s="40"/>
      <c r="N72" s="41"/>
      <c r="O72" s="41"/>
      <c r="P72" s="41"/>
    </row>
    <row r="73" spans="1:16" s="39" customFormat="1" ht="19.5" customHeight="1" hidden="1">
      <c r="A73" s="38"/>
      <c r="D73" s="42">
        <v>3</v>
      </c>
      <c r="E73" s="46" t="s">
        <v>111</v>
      </c>
      <c r="F73" s="50"/>
      <c r="G73" s="51"/>
      <c r="M73" s="40"/>
      <c r="N73" s="41"/>
      <c r="O73" s="41"/>
      <c r="P73" s="41"/>
    </row>
    <row r="74" spans="1:16" s="39" customFormat="1" ht="19.5" customHeight="1" hidden="1">
      <c r="A74" s="38"/>
      <c r="D74" s="42"/>
      <c r="E74" s="53"/>
      <c r="F74" s="54"/>
      <c r="G74" s="54"/>
      <c r="M74" s="40"/>
      <c r="N74" s="41"/>
      <c r="O74" s="41"/>
      <c r="P74" s="41"/>
    </row>
    <row r="75" spans="1:16" s="39" customFormat="1" ht="19.5" customHeight="1" hidden="1">
      <c r="A75" s="38"/>
      <c r="D75" s="42"/>
      <c r="E75" s="453" t="s">
        <v>133</v>
      </c>
      <c r="F75" s="454"/>
      <c r="G75" s="449"/>
      <c r="M75" s="40"/>
      <c r="N75" s="41"/>
      <c r="O75" s="41"/>
      <c r="P75" s="41"/>
    </row>
    <row r="76" spans="1:16" s="39" customFormat="1" ht="19.5" customHeight="1" hidden="1">
      <c r="A76" s="38"/>
      <c r="D76" s="42">
        <v>1</v>
      </c>
      <c r="E76" s="43" t="s">
        <v>134</v>
      </c>
      <c r="F76" s="52">
        <v>2</v>
      </c>
      <c r="G76" s="45" t="str">
        <f>LOOKUP($F$81,$D$81:$D$83,$E$81:$E$83)</f>
        <v>VAR</v>
      </c>
      <c r="M76" s="40"/>
      <c r="N76" s="41"/>
      <c r="O76" s="41"/>
      <c r="P76" s="41"/>
    </row>
    <row r="77" spans="1:16" s="39" customFormat="1" ht="19.5" customHeight="1" hidden="1">
      <c r="A77" s="38"/>
      <c r="D77" s="42">
        <v>2</v>
      </c>
      <c r="E77" s="46" t="s">
        <v>118</v>
      </c>
      <c r="F77" s="44"/>
      <c r="G77" s="47"/>
      <c r="M77" s="40"/>
      <c r="N77" s="41"/>
      <c r="O77" s="41"/>
      <c r="P77" s="41"/>
    </row>
    <row r="78" spans="1:16" s="39" customFormat="1" ht="19.5" customHeight="1" hidden="1">
      <c r="A78" s="38"/>
      <c r="D78" s="42">
        <v>3</v>
      </c>
      <c r="E78" s="46" t="s">
        <v>111</v>
      </c>
      <c r="F78" s="50"/>
      <c r="G78" s="51"/>
      <c r="M78" s="40"/>
      <c r="N78" s="41"/>
      <c r="O78" s="41"/>
      <c r="P78" s="41"/>
    </row>
    <row r="79" spans="1:16" s="39" customFormat="1" ht="19.5" customHeight="1" hidden="1">
      <c r="A79" s="38"/>
      <c r="M79" s="40"/>
      <c r="N79" s="41"/>
      <c r="O79" s="41"/>
      <c r="P79" s="41"/>
    </row>
    <row r="80" spans="1:16" s="39" customFormat="1" ht="19.5" customHeight="1" hidden="1">
      <c r="A80" s="38"/>
      <c r="D80" s="42"/>
      <c r="E80" s="453" t="s">
        <v>120</v>
      </c>
      <c r="F80" s="454"/>
      <c r="G80" s="449"/>
      <c r="M80" s="40"/>
      <c r="N80" s="41"/>
      <c r="O80" s="41"/>
      <c r="P80" s="41"/>
    </row>
    <row r="81" spans="1:16" s="39" customFormat="1" ht="19.5" customHeight="1" hidden="1">
      <c r="A81" s="38"/>
      <c r="D81" s="42">
        <v>1</v>
      </c>
      <c r="E81" s="43" t="s">
        <v>121</v>
      </c>
      <c r="F81" s="52">
        <v>2</v>
      </c>
      <c r="G81" s="45" t="str">
        <f>LOOKUP($F$81,$D$81:$D$83,$E$81:$E$83)</f>
        <v>VAR</v>
      </c>
      <c r="M81" s="40"/>
      <c r="N81" s="41"/>
      <c r="O81" s="41"/>
      <c r="P81" s="41"/>
    </row>
    <row r="82" spans="1:16" s="39" customFormat="1" ht="19.5" customHeight="1" hidden="1">
      <c r="A82" s="38"/>
      <c r="D82" s="42">
        <v>2</v>
      </c>
      <c r="E82" s="46" t="s">
        <v>118</v>
      </c>
      <c r="F82" s="44"/>
      <c r="G82" s="47"/>
      <c r="M82" s="40"/>
      <c r="N82" s="41"/>
      <c r="O82" s="41"/>
      <c r="P82" s="41"/>
    </row>
    <row r="83" spans="1:16" s="39" customFormat="1" ht="19.5" customHeight="1" hidden="1">
      <c r="A83" s="38"/>
      <c r="D83" s="42">
        <v>3</v>
      </c>
      <c r="E83" s="46" t="s">
        <v>111</v>
      </c>
      <c r="F83" s="50"/>
      <c r="G83" s="51"/>
      <c r="M83" s="40"/>
      <c r="N83" s="41"/>
      <c r="O83" s="41"/>
      <c r="P83" s="41"/>
    </row>
    <row r="84" spans="1:16" s="39" customFormat="1" ht="19.5" customHeight="1" hidden="1">
      <c r="A84" s="38"/>
      <c r="E84" s="53"/>
      <c r="F84" s="54"/>
      <c r="G84" s="54"/>
      <c r="M84" s="40"/>
      <c r="N84" s="41"/>
      <c r="O84" s="41"/>
      <c r="P84" s="41"/>
    </row>
    <row r="85" spans="1:16" s="39" customFormat="1" ht="19.5" customHeight="1" hidden="1">
      <c r="A85" s="38"/>
      <c r="E85" s="453" t="s">
        <v>126</v>
      </c>
      <c r="F85" s="454"/>
      <c r="G85" s="449"/>
      <c r="H85" s="39">
        <f>IF($F$86=2,1,0)</f>
        <v>1</v>
      </c>
      <c r="M85" s="40"/>
      <c r="N85" s="41"/>
      <c r="O85" s="41"/>
      <c r="P85" s="41"/>
    </row>
    <row r="86" spans="1:16" s="39" customFormat="1" ht="19.5" customHeight="1" hidden="1">
      <c r="A86" s="38"/>
      <c r="D86" s="42">
        <v>1</v>
      </c>
      <c r="E86" s="43" t="s">
        <v>127</v>
      </c>
      <c r="F86" s="52">
        <v>2</v>
      </c>
      <c r="G86" s="45" t="str">
        <f>LOOKUP($F$86,$D$86:$D$88,$E$86:$E$88)</f>
        <v>ASANSÖR AVAN PROJE VAR</v>
      </c>
      <c r="M86" s="40"/>
      <c r="N86" s="41"/>
      <c r="O86" s="41"/>
      <c r="P86" s="41"/>
    </row>
    <row r="87" spans="1:16" s="39" customFormat="1" ht="19.5" customHeight="1" hidden="1">
      <c r="A87" s="38"/>
      <c r="D87" s="42">
        <v>2</v>
      </c>
      <c r="E87" s="46" t="s">
        <v>128</v>
      </c>
      <c r="F87" s="44"/>
      <c r="G87" s="47"/>
      <c r="M87" s="40"/>
      <c r="N87" s="41"/>
      <c r="O87" s="41"/>
      <c r="P87" s="41"/>
    </row>
    <row r="88" spans="1:16" s="39" customFormat="1" ht="19.5" customHeight="1" hidden="1">
      <c r="A88" s="38"/>
      <c r="D88" s="42">
        <v>3</v>
      </c>
      <c r="E88" s="46" t="s">
        <v>129</v>
      </c>
      <c r="F88" s="50"/>
      <c r="G88" s="51"/>
      <c r="M88" s="40"/>
      <c r="N88" s="41"/>
      <c r="O88" s="41"/>
      <c r="P88" s="41"/>
    </row>
    <row r="89" spans="1:16" s="39" customFormat="1" ht="19.5" customHeight="1" hidden="1">
      <c r="A89" s="38"/>
      <c r="E89" s="53"/>
      <c r="F89" s="54"/>
      <c r="G89" s="54"/>
      <c r="M89" s="40"/>
      <c r="N89" s="41"/>
      <c r="O89" s="41"/>
      <c r="P89" s="41"/>
    </row>
    <row r="90" spans="1:16" s="39" customFormat="1" ht="19.5" customHeight="1" hidden="1">
      <c r="A90" s="38"/>
      <c r="M90" s="40"/>
      <c r="N90" s="41"/>
      <c r="O90" s="41"/>
      <c r="P90" s="41"/>
    </row>
    <row r="91" spans="1:16" s="39" customFormat="1" ht="19.5" customHeight="1" hidden="1">
      <c r="A91" s="38"/>
      <c r="D91" s="42"/>
      <c r="E91" s="453" t="s">
        <v>130</v>
      </c>
      <c r="F91" s="454"/>
      <c r="G91" s="449"/>
      <c r="H91" s="39">
        <f>IF($F$92=1,E92,1)</f>
        <v>1</v>
      </c>
      <c r="M91" s="40"/>
      <c r="N91" s="41"/>
      <c r="O91" s="41"/>
      <c r="P91" s="41"/>
    </row>
    <row r="92" spans="1:16" s="39" customFormat="1" ht="19.5" customHeight="1" hidden="1">
      <c r="A92" s="38"/>
      <c r="D92" s="42">
        <v>1</v>
      </c>
      <c r="E92" s="43" t="s">
        <v>140</v>
      </c>
      <c r="F92" s="52">
        <v>2</v>
      </c>
      <c r="G92" s="45" t="str">
        <f>LOOKUP($F$92,$D$92:$D$94,$E$92:$E$94)</f>
        <v>VAR</v>
      </c>
      <c r="M92" s="40"/>
      <c r="N92" s="41"/>
      <c r="O92" s="41"/>
      <c r="P92" s="41"/>
    </row>
    <row r="93" spans="1:16" s="39" customFormat="1" ht="19.5" customHeight="1" hidden="1">
      <c r="A93" s="38"/>
      <c r="D93" s="42">
        <v>2</v>
      </c>
      <c r="E93" s="46" t="s">
        <v>118</v>
      </c>
      <c r="F93" s="44"/>
      <c r="G93" s="47"/>
      <c r="M93" s="40"/>
      <c r="N93" s="41"/>
      <c r="O93" s="41"/>
      <c r="P93" s="41"/>
    </row>
    <row r="94" spans="1:16" s="39" customFormat="1" ht="19.5" customHeight="1" hidden="1">
      <c r="A94" s="38"/>
      <c r="D94" s="42">
        <v>3</v>
      </c>
      <c r="E94" s="46" t="s">
        <v>111</v>
      </c>
      <c r="F94" s="50"/>
      <c r="G94" s="51"/>
      <c r="M94" s="40"/>
      <c r="N94" s="41"/>
      <c r="O94" s="41"/>
      <c r="P94" s="41"/>
    </row>
    <row r="95" spans="1:15" s="39" customFormat="1" ht="19.5" customHeight="1" hidden="1">
      <c r="A95" s="38"/>
      <c r="L95" s="40"/>
      <c r="M95" s="41"/>
      <c r="N95" s="41"/>
      <c r="O95" s="41"/>
    </row>
    <row r="96" spans="1:15" s="39" customFormat="1" ht="19.5" customHeight="1" hidden="1">
      <c r="A96" s="38"/>
      <c r="D96" s="42"/>
      <c r="E96" s="453" t="s">
        <v>136</v>
      </c>
      <c r="F96" s="454"/>
      <c r="G96" s="449"/>
      <c r="H96" s="39">
        <f>IF($F$97=2,1,0)</f>
        <v>1</v>
      </c>
      <c r="L96" s="40"/>
      <c r="M96" s="41"/>
      <c r="N96" s="41"/>
      <c r="O96" s="41"/>
    </row>
    <row r="97" spans="1:15" s="39" customFormat="1" ht="19.5" customHeight="1" hidden="1">
      <c r="A97" s="38"/>
      <c r="D97" s="42">
        <v>1</v>
      </c>
      <c r="E97" s="43" t="s">
        <v>144</v>
      </c>
      <c r="F97" s="126">
        <v>2</v>
      </c>
      <c r="G97" s="45" t="str">
        <f>LOOKUP($F$97,$D$97:$D$98,$E$97:$E$98)</f>
        <v>HESAPLA</v>
      </c>
      <c r="L97" s="40"/>
      <c r="M97" s="41"/>
      <c r="N97" s="41"/>
      <c r="O97" s="41"/>
    </row>
    <row r="98" spans="1:15" s="39" customFormat="1" ht="19.5" customHeight="1" hidden="1">
      <c r="A98" s="38"/>
      <c r="D98" s="42">
        <v>2</v>
      </c>
      <c r="E98" s="46" t="s">
        <v>135</v>
      </c>
      <c r="F98" s="51"/>
      <c r="G98" s="51"/>
      <c r="L98" s="40"/>
      <c r="M98" s="41"/>
      <c r="N98" s="41"/>
      <c r="O98" s="41"/>
    </row>
    <row r="99" spans="1:15" s="39" customFormat="1" ht="19.5" customHeight="1" hidden="1">
      <c r="A99" s="38"/>
      <c r="L99" s="40"/>
      <c r="M99" s="41"/>
      <c r="N99" s="41"/>
      <c r="O99" s="41"/>
    </row>
    <row r="100" spans="1:15" s="39" customFormat="1" ht="19.5" customHeight="1" hidden="1">
      <c r="A100" s="38"/>
      <c r="L100" s="40"/>
      <c r="M100" s="41"/>
      <c r="N100" s="41"/>
      <c r="O100" s="41"/>
    </row>
    <row r="101" spans="1:15" s="39" customFormat="1" ht="19.5" customHeight="1" hidden="1">
      <c r="A101" s="38"/>
      <c r="L101" s="40"/>
      <c r="M101" s="41"/>
      <c r="N101" s="41"/>
      <c r="O101" s="41"/>
    </row>
    <row r="102" spans="1:16" s="39" customFormat="1" ht="19.5" customHeight="1" hidden="1">
      <c r="A102" s="38"/>
      <c r="M102" s="55"/>
      <c r="N102" s="55"/>
      <c r="P102" s="39" t="s">
        <v>122</v>
      </c>
    </row>
    <row r="103" spans="1:16" s="39" customFormat="1" ht="19.5" customHeight="1" hidden="1">
      <c r="A103" s="38"/>
      <c r="D103" s="56">
        <v>1</v>
      </c>
      <c r="E103" s="57" t="s">
        <v>98</v>
      </c>
      <c r="F103" s="57"/>
      <c r="G103" s="57"/>
      <c r="H103" s="57"/>
      <c r="I103" s="39">
        <v>2</v>
      </c>
      <c r="J103" s="55" t="str">
        <f>IF($I$103=2,$E$108,IF($I$103=3,$E$109,IF($I$103=4,$E$110,$E$103)))</f>
        <v>İNSAN ve YÜK ASANSÖRÜ </v>
      </c>
      <c r="K103" s="55"/>
      <c r="L103" s="55"/>
      <c r="M103" s="55"/>
      <c r="O103" s="39" t="str">
        <f>IF($J$35="HESAPLA",1,IF($J$35="SEÇİNİZ",0,"KONTROL ET"))</f>
        <v>KONTROL ET</v>
      </c>
      <c r="P103" s="39">
        <f>IF($J$10=0,,IF(J10&gt;0,1,"KONTROL ET"))</f>
        <v>1</v>
      </c>
    </row>
    <row r="104" spans="1:14" s="39" customFormat="1" ht="19.5" customHeight="1" hidden="1">
      <c r="A104" s="38"/>
      <c r="D104" s="56">
        <v>2</v>
      </c>
      <c r="E104" s="460" t="s">
        <v>96</v>
      </c>
      <c r="F104" s="460"/>
      <c r="G104" s="460"/>
      <c r="H104" s="460"/>
      <c r="N104" s="39">
        <f>IF(J35="SEÇİNİZ",0,1)</f>
        <v>1</v>
      </c>
    </row>
    <row r="105" spans="1:16" s="39" customFormat="1" ht="19.5" customHeight="1" hidden="1">
      <c r="A105" s="38"/>
      <c r="D105" s="56">
        <v>3</v>
      </c>
      <c r="E105" s="460" t="s">
        <v>95</v>
      </c>
      <c r="F105" s="460"/>
      <c r="G105" s="460"/>
      <c r="H105" s="460"/>
      <c r="J105" s="39" t="s">
        <v>102</v>
      </c>
      <c r="P105" s="39" t="s">
        <v>123</v>
      </c>
    </row>
    <row r="106" spans="1:16" s="39" customFormat="1" ht="19.5" customHeight="1" hidden="1">
      <c r="A106" s="38"/>
      <c r="D106" s="56">
        <v>4</v>
      </c>
      <c r="E106" s="460" t="s">
        <v>97</v>
      </c>
      <c r="F106" s="460"/>
      <c r="G106" s="460"/>
      <c r="H106" s="460"/>
      <c r="J106" s="39" t="s">
        <v>103</v>
      </c>
      <c r="P106" s="39">
        <f>IF($J$22="VAR",1,IF($J$22="YOK",0,"KONTROL ET"))</f>
        <v>1</v>
      </c>
    </row>
    <row r="107" spans="1:8" s="39" customFormat="1" ht="19.5" customHeight="1" hidden="1">
      <c r="A107" s="38"/>
      <c r="E107" s="58" t="s">
        <v>98</v>
      </c>
      <c r="F107" s="59"/>
      <c r="G107" s="59"/>
      <c r="H107" s="59"/>
    </row>
    <row r="108" spans="1:16" s="39" customFormat="1" ht="19.5" customHeight="1" hidden="1">
      <c r="A108" s="38"/>
      <c r="E108" s="460" t="s">
        <v>99</v>
      </c>
      <c r="F108" s="460"/>
      <c r="G108" s="460"/>
      <c r="H108" s="460"/>
      <c r="I108" s="275">
        <f>'ASGARİ ÜCRETLER'!Q64</f>
        <v>465</v>
      </c>
      <c r="J108" s="275">
        <f>'DENETİM ÜCRETLERİ'!Q71</f>
        <v>17</v>
      </c>
      <c r="P108" s="39" t="s">
        <v>124</v>
      </c>
    </row>
    <row r="109" spans="1:16" s="39" customFormat="1" ht="19.5" customHeight="1" hidden="1">
      <c r="A109" s="38"/>
      <c r="E109" s="460" t="s">
        <v>100</v>
      </c>
      <c r="F109" s="460"/>
      <c r="G109" s="460"/>
      <c r="H109" s="460"/>
      <c r="I109" s="275">
        <f>'ASGARİ ÜCRETLER'!Q65</f>
        <v>700</v>
      </c>
      <c r="J109" s="275">
        <f>'DENETİM ÜCRETLERİ'!Q72</f>
        <v>24</v>
      </c>
      <c r="P109" s="39">
        <f>IF($J$32="VAR",1,IF($J$32="YOK",0,"Asansör Durumu Seçiniz"))</f>
        <v>1</v>
      </c>
    </row>
    <row r="110" spans="1:10" s="39" customFormat="1" ht="19.5" customHeight="1" hidden="1">
      <c r="A110" s="38"/>
      <c r="E110" s="460" t="s">
        <v>101</v>
      </c>
      <c r="F110" s="460"/>
      <c r="G110" s="460"/>
      <c r="H110" s="460"/>
      <c r="I110" s="275">
        <f>'ASGARİ ÜCRETLER'!Q66</f>
        <v>700</v>
      </c>
      <c r="J110" s="275">
        <f>'DENETİM ÜCRETLERİ'!Q73</f>
        <v>24</v>
      </c>
    </row>
    <row r="111" s="39" customFormat="1" ht="19.5" customHeight="1" hidden="1">
      <c r="A111" s="38"/>
    </row>
    <row r="112" s="39" customFormat="1" ht="19.5" customHeight="1" hidden="1">
      <c r="A112" s="38"/>
    </row>
    <row r="113" ht="19.5" customHeight="1" hidden="1"/>
    <row r="114" spans="13:17" ht="19.5" customHeight="1" hidden="1">
      <c r="M114" s="2"/>
      <c r="N114" s="2"/>
      <c r="O114" s="2"/>
      <c r="P114" s="2"/>
      <c r="Q114" s="2"/>
    </row>
    <row r="115" ht="19.5" customHeight="1" hidden="1">
      <c r="L115" s="2"/>
    </row>
    <row r="116" ht="19.5" customHeight="1" hidden="1"/>
    <row r="117" spans="18:21" ht="19.5" customHeight="1" hidden="1">
      <c r="R117" s="3"/>
      <c r="S117" s="3"/>
      <c r="T117" s="3"/>
      <c r="U117" s="3"/>
    </row>
    <row r="118" spans="18:21" ht="19.5" customHeight="1" hidden="1">
      <c r="R118" s="4"/>
      <c r="S118" s="4"/>
      <c r="T118" s="4"/>
      <c r="U118" s="4"/>
    </row>
    <row r="119" spans="18:21" ht="19.5" customHeight="1" hidden="1">
      <c r="R119" s="5"/>
      <c r="S119" s="5"/>
      <c r="T119" s="5"/>
      <c r="U119" s="5"/>
    </row>
    <row r="120" ht="12.75" customHeight="1" hidden="1"/>
    <row r="121" ht="12.75" customHeight="1" hidden="1"/>
    <row r="122" ht="12.75" customHeight="1" hidden="1"/>
  </sheetData>
  <sheetProtection password="AD2F" sheet="1" objects="1" scenarios="1"/>
  <mergeCells count="69">
    <mergeCell ref="E24:H24"/>
    <mergeCell ref="E85:G85"/>
    <mergeCell ref="N42:P42"/>
    <mergeCell ref="N33:P33"/>
    <mergeCell ref="N34:P34"/>
    <mergeCell ref="E26:H26"/>
    <mergeCell ref="D45:K45"/>
    <mergeCell ref="D46:S47"/>
    <mergeCell ref="Q42:R42"/>
    <mergeCell ref="D44:K44"/>
    <mergeCell ref="D42:K43"/>
    <mergeCell ref="Q40:R40"/>
    <mergeCell ref="N40:P40"/>
    <mergeCell ref="Q43:R43"/>
    <mergeCell ref="N43:P43"/>
    <mergeCell ref="N41:P41"/>
    <mergeCell ref="G2:P4"/>
    <mergeCell ref="G5:P5"/>
    <mergeCell ref="P6:Q6"/>
    <mergeCell ref="Q41:R41"/>
    <mergeCell ref="Q32:R32"/>
    <mergeCell ref="Q33:R33"/>
    <mergeCell ref="E22:H22"/>
    <mergeCell ref="D8:K8"/>
    <mergeCell ref="D38:K41"/>
    <mergeCell ref="Q34:R34"/>
    <mergeCell ref="Q11:R11"/>
    <mergeCell ref="Q12:R12"/>
    <mergeCell ref="Q17:R17"/>
    <mergeCell ref="Q18:R18"/>
    <mergeCell ref="N11:P11"/>
    <mergeCell ref="N12:P12"/>
    <mergeCell ref="N17:P17"/>
    <mergeCell ref="N18:P18"/>
    <mergeCell ref="D7:K7"/>
    <mergeCell ref="M7:S7"/>
    <mergeCell ref="M8:S8"/>
    <mergeCell ref="Q10:R10"/>
    <mergeCell ref="N10:P10"/>
    <mergeCell ref="E19:H19"/>
    <mergeCell ref="E10:H10"/>
    <mergeCell ref="E12:H12"/>
    <mergeCell ref="E17:H17"/>
    <mergeCell ref="E15:H15"/>
    <mergeCell ref="E109:H109"/>
    <mergeCell ref="E29:H29"/>
    <mergeCell ref="E51:G51"/>
    <mergeCell ref="E70:G70"/>
    <mergeCell ref="E80:G80"/>
    <mergeCell ref="E91:G91"/>
    <mergeCell ref="E108:H108"/>
    <mergeCell ref="E65:G65"/>
    <mergeCell ref="E35:H35"/>
    <mergeCell ref="E96:G96"/>
    <mergeCell ref="N19:P19"/>
    <mergeCell ref="N32:P32"/>
    <mergeCell ref="Q19:R19"/>
    <mergeCell ref="Q24:R24"/>
    <mergeCell ref="Q25:R25"/>
    <mergeCell ref="Q26:R26"/>
    <mergeCell ref="E110:H110"/>
    <mergeCell ref="N24:P24"/>
    <mergeCell ref="N25:P25"/>
    <mergeCell ref="N26:P26"/>
    <mergeCell ref="E32:H32"/>
    <mergeCell ref="E104:H104"/>
    <mergeCell ref="E105:H105"/>
    <mergeCell ref="E106:H106"/>
    <mergeCell ref="E75:G75"/>
  </mergeCells>
  <dataValidations count="3">
    <dataValidation type="whole" allowBlank="1" showInputMessage="1" showErrorMessage="1" prompt="Blok Sayısı Seçiniz" error="Sıfırdan Büyük Değer Giriniz" sqref="J19">
      <formula1>1</formula1>
      <formula2>100</formula2>
    </dataValidation>
    <dataValidation type="whole" allowBlank="1" showInputMessage="1" showErrorMessage="1" error="Asansör Adedini Giriniz" sqref="J34">
      <formula1>0</formula1>
      <formula2>100</formula2>
    </dataValidation>
    <dataValidation type="whole" allowBlank="1" showInputMessage="1" showErrorMessage="1" prompt="Liteden Asansör Adedi Seçiniz" error="Asansör Adedini Giriniz" sqref="J30">
      <formula1>0</formula1>
      <formula2>100</formula2>
    </dataValidation>
  </dataValidations>
  <printOptions/>
  <pageMargins left="0.75" right="0.21" top="0.51" bottom="0.53" header="0.5" footer="0.5"/>
  <pageSetup fitToHeight="1" fitToWidth="1" horizontalDpi="600" verticalDpi="600" orientation="landscape" paperSize="9" scale="74" r:id="rId6"/>
  <drawing r:id="rId5"/>
  <legacyDrawing r:id="rId4"/>
  <oleObjects>
    <oleObject progId="MSPhotoEd.3" shapeId="507323" r:id="rId1"/>
    <oleObject progId="MSPhotoEd.3" shapeId="508808" r:id="rId2"/>
    <oleObject progId="MSPhotoEd.3" shapeId="51608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Zeros="0" zoomScalePageLayoutView="0" workbookViewId="0" topLeftCell="A1">
      <selection activeCell="P6" sqref="P6"/>
    </sheetView>
  </sheetViews>
  <sheetFormatPr defaultColWidth="9.140625" defaultRowHeight="12.75"/>
  <cols>
    <col min="1" max="1" width="0.9921875" style="151" customWidth="1"/>
    <col min="2" max="2" width="11.421875" style="151" customWidth="1"/>
    <col min="3" max="3" width="16.00390625" style="151" customWidth="1"/>
    <col min="4" max="4" width="12.57421875" style="151" customWidth="1"/>
    <col min="5" max="5" width="14.28125" style="151" customWidth="1"/>
    <col min="6" max="6" width="6.8515625" style="151" customWidth="1"/>
    <col min="7" max="7" width="9.8515625" style="151" bestFit="1" customWidth="1"/>
    <col min="8" max="8" width="1.1484375" style="151" customWidth="1"/>
    <col min="9" max="9" width="14.28125" style="151" customWidth="1"/>
    <col min="10" max="10" width="7.00390625" style="151" customWidth="1"/>
    <col min="11" max="11" width="9.7109375" style="151" customWidth="1"/>
    <col min="12" max="12" width="14.8515625" style="151" customWidth="1"/>
    <col min="13" max="13" width="2.7109375" style="151" customWidth="1"/>
    <col min="14" max="16384" width="9.140625" style="151" customWidth="1"/>
  </cols>
  <sheetData>
    <row r="1" spans="2:9" s="141" customFormat="1" ht="19.5" customHeight="1">
      <c r="B1" s="137"/>
      <c r="C1" s="138"/>
      <c r="D1" s="139"/>
      <c r="E1" s="139" t="s">
        <v>5</v>
      </c>
      <c r="F1" s="140">
        <f>'ANA SAYFA'!J19</f>
        <v>1</v>
      </c>
      <c r="G1" s="138"/>
      <c r="H1" s="138"/>
      <c r="I1" s="138"/>
    </row>
    <row r="2" spans="2:9" s="141" customFormat="1" ht="19.5" customHeight="1">
      <c r="B2" s="550" t="s">
        <v>81</v>
      </c>
      <c r="C2" s="550"/>
      <c r="D2" s="550"/>
      <c r="E2" s="550"/>
      <c r="F2" s="142">
        <f>'ANA SAYFA'!J10</f>
        <v>250</v>
      </c>
      <c r="G2" s="137" t="s">
        <v>3</v>
      </c>
      <c r="H2" s="137"/>
      <c r="I2" s="138"/>
    </row>
    <row r="3" spans="2:9" s="141" customFormat="1" ht="19.5" customHeight="1">
      <c r="B3" s="143"/>
      <c r="C3" s="562" t="s">
        <v>75</v>
      </c>
      <c r="D3" s="562"/>
      <c r="E3" s="562"/>
      <c r="F3" s="144">
        <f>IF(F2&lt;'ASGARİ ÜCRETLER'!P62,'ASGARİ ÜCRETLER'!P62,F2)</f>
        <v>250</v>
      </c>
      <c r="G3" s="137" t="s">
        <v>3</v>
      </c>
      <c r="H3" s="137"/>
      <c r="I3" s="137"/>
    </row>
    <row r="4" spans="2:9" s="141" customFormat="1" ht="19.5" customHeight="1">
      <c r="B4" s="550" t="s">
        <v>82</v>
      </c>
      <c r="C4" s="550"/>
      <c r="D4" s="550"/>
      <c r="E4" s="550"/>
      <c r="F4" s="145">
        <f>F2*F1</f>
        <v>250</v>
      </c>
      <c r="G4" s="137" t="s">
        <v>3</v>
      </c>
      <c r="H4" s="137"/>
      <c r="I4" s="137"/>
    </row>
    <row r="5" spans="2:9" s="141" customFormat="1" ht="19.5" customHeight="1">
      <c r="B5" s="146"/>
      <c r="C5" s="146"/>
      <c r="D5" s="550" t="s">
        <v>6</v>
      </c>
      <c r="E5" s="550"/>
      <c r="F5" s="147">
        <f>'ANA SAYFA'!J12</f>
        <v>2</v>
      </c>
      <c r="G5" s="137"/>
      <c r="H5" s="137"/>
      <c r="I5" s="137"/>
    </row>
    <row r="6" spans="2:10" ht="12.75" customHeight="1">
      <c r="B6" s="148"/>
      <c r="C6" s="148"/>
      <c r="D6" s="148"/>
      <c r="E6" s="149"/>
      <c r="F6" s="149"/>
      <c r="G6" s="149"/>
      <c r="H6" s="149"/>
      <c r="I6" s="150"/>
      <c r="J6" s="150"/>
    </row>
    <row r="7" spans="2:9" ht="28.5" customHeight="1" hidden="1">
      <c r="B7" s="148"/>
      <c r="C7" s="148"/>
      <c r="D7" s="148"/>
      <c r="E7" s="152" t="s">
        <v>64</v>
      </c>
      <c r="I7" s="152" t="s">
        <v>65</v>
      </c>
    </row>
    <row r="8" spans="2:10" s="161" customFormat="1" ht="12.75" hidden="1">
      <c r="B8" s="153">
        <f>LOOKUP($F$3,'ASGARİ ÜCRETLER'!$A$7:$A$55)</f>
        <v>250</v>
      </c>
      <c r="C8" s="154">
        <f>LOOKUP(F3,'ASGARİ ÜCRETLER'!$A$8:$A$55,'ASGARİ ÜCRETLER'!$G$8:$G$55)</f>
        <v>6</v>
      </c>
      <c r="D8" s="155">
        <f>LOOKUP(F5,'ASGARİ ÜCRETLER'!$H$5:$S$6)</f>
        <v>268</v>
      </c>
      <c r="E8" s="156">
        <f>VLOOKUP($B$8,'ASGARİ ÜCRETLER'!$A$7:$F$55,LEFT(F5,1)+1)/100</f>
        <v>0.0493</v>
      </c>
      <c r="F8" s="157"/>
      <c r="G8" s="158"/>
      <c r="H8" s="158"/>
      <c r="I8" s="159">
        <f>E8*0.01</f>
        <v>0.000493</v>
      </c>
      <c r="J8" s="160"/>
    </row>
    <row r="9" spans="2:11" s="161" customFormat="1" ht="12.75" hidden="1">
      <c r="B9" s="153">
        <f>LOOKUP($C$9,'ASGARİ ÜCRETLER'!$G$8:$G$55,'ASGARİ ÜCRETLER'!$A$8:$A$55)</f>
        <v>300</v>
      </c>
      <c r="C9" s="154">
        <f>C8+1</f>
        <v>7</v>
      </c>
      <c r="D9" s="155">
        <f>LOOKUP($F$5,'ASGARİ ÜCRETLER'!$H$5:$S$6)</f>
        <v>268</v>
      </c>
      <c r="E9" s="156">
        <f>VLOOKUP($B$9,'ASGARİ ÜCRETLER'!$A$7:$F$55,LEFT(F5,1)+1)/100</f>
        <v>0.0484</v>
      </c>
      <c r="I9" s="162">
        <f>E9*0.01</f>
        <v>0.000484</v>
      </c>
      <c r="J9" s="163"/>
      <c r="K9" s="151"/>
    </row>
    <row r="10" spans="2:11" s="161" customFormat="1" ht="38.25" customHeight="1">
      <c r="B10" s="152" t="s">
        <v>7</v>
      </c>
      <c r="C10" s="164" t="s">
        <v>84</v>
      </c>
      <c r="D10" s="152" t="s">
        <v>8</v>
      </c>
      <c r="E10" s="164" t="s">
        <v>9</v>
      </c>
      <c r="F10" s="152" t="s">
        <v>79</v>
      </c>
      <c r="G10" s="152" t="s">
        <v>10</v>
      </c>
      <c r="H10" s="551" t="s">
        <v>48</v>
      </c>
      <c r="I10" s="552"/>
      <c r="J10" s="551" t="s">
        <v>85</v>
      </c>
      <c r="K10" s="552"/>
    </row>
    <row r="11" spans="2:12" s="161" customFormat="1" ht="12.75" customHeight="1">
      <c r="B11" s="153">
        <f>$F$3</f>
        <v>250</v>
      </c>
      <c r="C11" s="166">
        <f>LOOKUP(F5,'ASGARİ ÜCRETLER'!$H$5:$S$6)</f>
        <v>268</v>
      </c>
      <c r="D11" s="156">
        <f>$E$8-($F$3-$B$8)*($E$8-$E$9)/($B$9-$B$8)</f>
        <v>0.0493</v>
      </c>
      <c r="E11" s="167">
        <v>0.5</v>
      </c>
      <c r="F11" s="168">
        <v>0.5</v>
      </c>
      <c r="G11" s="168">
        <f>VERİLER!$L$9</f>
        <v>0.6</v>
      </c>
      <c r="H11" s="555">
        <v>1</v>
      </c>
      <c r="I11" s="556"/>
      <c r="J11" s="563">
        <f>ROUND(B11*C11*D11*E11*F11*G11*H11,0)</f>
        <v>495</v>
      </c>
      <c r="K11" s="564"/>
      <c r="L11" s="170"/>
    </row>
    <row r="12" spans="2:12" s="161" customFormat="1" ht="12.75">
      <c r="B12" s="171"/>
      <c r="C12" s="171"/>
      <c r="D12" s="171"/>
      <c r="E12" s="171"/>
      <c r="F12" s="172"/>
      <c r="G12" s="170"/>
      <c r="H12" s="170"/>
      <c r="I12" s="170"/>
      <c r="J12" s="170"/>
      <c r="K12" s="170"/>
      <c r="L12" s="170"/>
    </row>
    <row r="13" spans="2:12" s="161" customFormat="1" ht="12.75">
      <c r="B13" s="171"/>
      <c r="C13" s="171"/>
      <c r="D13" s="171"/>
      <c r="E13" s="171"/>
      <c r="F13" s="172"/>
      <c r="G13" s="170"/>
      <c r="H13" s="170"/>
      <c r="I13" s="170"/>
      <c r="J13" s="170"/>
      <c r="K13" s="170"/>
      <c r="L13" s="170"/>
    </row>
    <row r="14" spans="2:7" s="161" customFormat="1" ht="12.75" hidden="1">
      <c r="B14" s="171"/>
      <c r="C14" s="171" t="str">
        <f>CONCATENATE("4.Uygulama ve üzeri - (",F1-3," Adet)")</f>
        <v>4.Uygulama ve üzeri - (-2 Adet)</v>
      </c>
      <c r="D14" s="171"/>
      <c r="E14" s="171"/>
      <c r="F14" s="172"/>
      <c r="G14" s="170"/>
    </row>
    <row r="15" spans="2:12" s="161" customFormat="1" ht="12.75" customHeight="1">
      <c r="B15" s="173"/>
      <c r="C15" s="174"/>
      <c r="D15" s="558" t="s">
        <v>54</v>
      </c>
      <c r="E15" s="559"/>
      <c r="F15" s="175"/>
      <c r="G15" s="560" t="s">
        <v>50</v>
      </c>
      <c r="H15" s="570"/>
      <c r="I15" s="571"/>
      <c r="J15" s="176"/>
      <c r="K15" s="560" t="s">
        <v>55</v>
      </c>
      <c r="L15" s="561"/>
    </row>
    <row r="16" spans="2:12" s="185" customFormat="1" ht="12.75" customHeight="1">
      <c r="B16" s="177"/>
      <c r="C16" s="178"/>
      <c r="D16" s="179">
        <f>F1</f>
        <v>1</v>
      </c>
      <c r="E16" s="180" t="s">
        <v>57</v>
      </c>
      <c r="F16" s="181"/>
      <c r="G16" s="182">
        <f>'ANA SAYFA'!J19</f>
        <v>1</v>
      </c>
      <c r="H16" s="543" t="s">
        <v>57</v>
      </c>
      <c r="I16" s="544"/>
      <c r="J16" s="183"/>
      <c r="K16" s="184">
        <f>'ANA SAYFA'!J29</f>
        <v>1</v>
      </c>
      <c r="L16" s="180" t="s">
        <v>57</v>
      </c>
    </row>
    <row r="17" spans="1:12" s="185" customFormat="1" ht="34.5" customHeight="1">
      <c r="A17" s="186"/>
      <c r="B17" s="548" t="s">
        <v>49</v>
      </c>
      <c r="C17" s="549"/>
      <c r="D17" s="189" t="s">
        <v>56</v>
      </c>
      <c r="E17" s="190" t="s">
        <v>47</v>
      </c>
      <c r="F17" s="191"/>
      <c r="G17" s="190" t="s">
        <v>56</v>
      </c>
      <c r="H17" s="546" t="s">
        <v>50</v>
      </c>
      <c r="I17" s="547"/>
      <c r="J17" s="191"/>
      <c r="K17" s="190" t="s">
        <v>56</v>
      </c>
      <c r="L17" s="193" t="s">
        <v>46</v>
      </c>
    </row>
    <row r="18" spans="1:12" s="185" customFormat="1" ht="34.5" customHeight="1">
      <c r="A18" s="186"/>
      <c r="B18" s="187"/>
      <c r="C18" s="188"/>
      <c r="D18" s="189"/>
      <c r="E18" s="190"/>
      <c r="F18" s="191"/>
      <c r="G18" s="190"/>
      <c r="H18" s="192"/>
      <c r="I18" s="193"/>
      <c r="J18" s="191"/>
      <c r="K18" s="190"/>
      <c r="L18" s="193"/>
    </row>
    <row r="19" spans="1:12" s="161" customFormat="1" ht="12.75" customHeight="1">
      <c r="A19" s="194"/>
      <c r="B19" s="557" t="s">
        <v>83</v>
      </c>
      <c r="C19" s="542"/>
      <c r="D19" s="195">
        <f>IF($D$16=0,0,100%)</f>
        <v>1</v>
      </c>
      <c r="E19" s="196">
        <f>IF($D$16=0,0,$J$11*D19)</f>
        <v>495</v>
      </c>
      <c r="F19" s="197"/>
      <c r="G19" s="195">
        <f>IF($G$16=0,0,100%)</f>
        <v>1</v>
      </c>
      <c r="H19" s="539">
        <f>IF($G$16=0,0,$J$11*G19)</f>
        <v>495</v>
      </c>
      <c r="I19" s="540"/>
      <c r="J19" s="198"/>
      <c r="K19" s="195">
        <f>IF($K$16=0,0,100%)</f>
        <v>1</v>
      </c>
      <c r="L19" s="199">
        <f>IF(K16=0,0,'ASGARİ ÜCRETLER'!P60)</f>
        <v>465</v>
      </c>
    </row>
    <row r="20" spans="1:12" s="161" customFormat="1" ht="12.75" customHeight="1">
      <c r="A20" s="194"/>
      <c r="B20" s="557">
        <f>IF($D$16&lt;2,0,"2. Uygulama     :")</f>
        <v>0</v>
      </c>
      <c r="C20" s="542"/>
      <c r="D20" s="195">
        <f>IF($D$16&lt;2,0,50%)</f>
        <v>0</v>
      </c>
      <c r="E20" s="196">
        <f>IF($D$16&gt;=2,$E$19*D20,0)</f>
        <v>0</v>
      </c>
      <c r="F20" s="197"/>
      <c r="G20" s="195">
        <f>IF($G$16&lt;2,0,100%)</f>
        <v>0</v>
      </c>
      <c r="H20" s="539">
        <f>IF($G$16&gt;=2,$H$19*G20,0)</f>
        <v>0</v>
      </c>
      <c r="I20" s="540"/>
      <c r="J20" s="198"/>
      <c r="K20" s="195">
        <f>IF($K$16&lt;2,0,50%)</f>
        <v>0</v>
      </c>
      <c r="L20" s="199">
        <f>IF($K$16&gt;=2,$L$19*K20,0)</f>
        <v>0</v>
      </c>
    </row>
    <row r="21" spans="1:12" s="161" customFormat="1" ht="12.75" customHeight="1">
      <c r="A21" s="194"/>
      <c r="B21" s="557">
        <f>IF($D$16&lt;3,0,"3. Uygulama     :")</f>
        <v>0</v>
      </c>
      <c r="C21" s="542"/>
      <c r="D21" s="195">
        <f>IF($D$16&lt;3,0,25%)</f>
        <v>0</v>
      </c>
      <c r="E21" s="196">
        <f>IF($D$16&gt;=3,$E$19*D21,0)</f>
        <v>0</v>
      </c>
      <c r="F21" s="197"/>
      <c r="G21" s="195">
        <f>IF($G$16&lt;3,0,100%)</f>
        <v>0</v>
      </c>
      <c r="H21" s="539">
        <f>IF($G$16&gt;=3,$H$19*G21,0)</f>
        <v>0</v>
      </c>
      <c r="I21" s="540"/>
      <c r="J21" s="198"/>
      <c r="K21" s="195">
        <f>IF($K$16&lt;3,0,25%)</f>
        <v>0</v>
      </c>
      <c r="L21" s="199">
        <f>IF($K$16&gt;=3,$L$19*K21,0)</f>
        <v>0</v>
      </c>
    </row>
    <row r="22" spans="1:12" s="161" customFormat="1" ht="12.75" customHeight="1">
      <c r="A22" s="194"/>
      <c r="B22" s="541">
        <f>IF($D$16&lt;4,0,C14)</f>
        <v>0</v>
      </c>
      <c r="C22" s="542"/>
      <c r="D22" s="200">
        <f>IF($D$16&lt;4,0,15%)</f>
        <v>0</v>
      </c>
      <c r="E22" s="196">
        <f>IF($D$16&gt;=4,$E$19*D22*($D$16-3),0)</f>
        <v>0</v>
      </c>
      <c r="F22" s="201"/>
      <c r="G22" s="195">
        <f>IF($G$16&lt;4,0,100%)</f>
        <v>0</v>
      </c>
      <c r="H22" s="539">
        <f>IF($G$16&gt;=4,$H$19*G22*($G$16-3),0)</f>
        <v>0</v>
      </c>
      <c r="I22" s="540"/>
      <c r="J22" s="202"/>
      <c r="K22" s="197">
        <f>IF($K$16&lt;4,0,15%)</f>
        <v>0</v>
      </c>
      <c r="L22" s="199">
        <f>IF($K$16&gt;=4,$L$19*K22*($K$16-3),0)</f>
        <v>0</v>
      </c>
    </row>
    <row r="23" spans="2:12" s="161" customFormat="1" ht="12.75" customHeight="1">
      <c r="B23" s="170"/>
      <c r="C23" s="203"/>
      <c r="D23" s="204" t="str">
        <f>IF($D$16=0,0,D24)</f>
        <v>Toplam     =</v>
      </c>
      <c r="E23" s="205">
        <f>SUM(E19:E22)</f>
        <v>495</v>
      </c>
      <c r="F23" s="206"/>
      <c r="G23" s="204" t="str">
        <f>IF(G16=0,0,G24)</f>
        <v>Toplam   =</v>
      </c>
      <c r="H23" s="545">
        <f>SUM(H19:H22)</f>
        <v>495</v>
      </c>
      <c r="I23" s="540"/>
      <c r="J23" s="206"/>
      <c r="K23" s="204" t="str">
        <f>IF(K16=0,0,K24)</f>
        <v>Toplam   =</v>
      </c>
      <c r="L23" s="207">
        <f>SUM(L19:L22)</f>
        <v>465</v>
      </c>
    </row>
    <row r="24" spans="2:12" s="161" customFormat="1" ht="12.75" customHeight="1" hidden="1">
      <c r="B24" s="170"/>
      <c r="C24" s="208"/>
      <c r="D24" s="209" t="s">
        <v>62</v>
      </c>
      <c r="E24" s="210"/>
      <c r="F24" s="208"/>
      <c r="G24" s="209" t="s">
        <v>61</v>
      </c>
      <c r="H24" s="204"/>
      <c r="I24" s="210"/>
      <c r="J24" s="208"/>
      <c r="K24" s="209" t="s">
        <v>61</v>
      </c>
      <c r="L24" s="210"/>
    </row>
    <row r="25" spans="4:12" ht="12.75">
      <c r="D25" s="211"/>
      <c r="E25" s="211"/>
      <c r="F25" s="211"/>
      <c r="G25" s="211"/>
      <c r="H25" s="211"/>
      <c r="I25" s="211"/>
      <c r="J25" s="211"/>
      <c r="K25" s="212"/>
      <c r="L25" s="213"/>
    </row>
    <row r="26" spans="2:12" ht="12.75" customHeight="1">
      <c r="B26" s="553" t="s">
        <v>60</v>
      </c>
      <c r="C26" s="553"/>
      <c r="D26" s="553"/>
      <c r="E26" s="553"/>
      <c r="F26" s="554">
        <f>ROUND(E23,0)</f>
        <v>495</v>
      </c>
      <c r="G26" s="554"/>
      <c r="H26" s="214"/>
      <c r="I26" s="215"/>
      <c r="J26" s="216"/>
      <c r="K26" s="216"/>
      <c r="L26" s="161"/>
    </row>
    <row r="27" spans="2:12" ht="12.75" customHeight="1">
      <c r="B27" s="217"/>
      <c r="C27" s="217"/>
      <c r="D27" s="217"/>
      <c r="E27" s="218" t="s">
        <v>58</v>
      </c>
      <c r="F27" s="566">
        <f>ROUND(H23,0)</f>
        <v>495</v>
      </c>
      <c r="G27" s="566"/>
      <c r="H27" s="214"/>
      <c r="I27" s="215"/>
      <c r="J27" s="216"/>
      <c r="K27" s="216"/>
      <c r="L27" s="161"/>
    </row>
    <row r="28" spans="2:12" ht="12.75" customHeight="1">
      <c r="B28" s="553" t="s">
        <v>59</v>
      </c>
      <c r="C28" s="553"/>
      <c r="D28" s="553"/>
      <c r="E28" s="553"/>
      <c r="F28" s="574">
        <f>ROUND(L23,0)</f>
        <v>465</v>
      </c>
      <c r="G28" s="574"/>
      <c r="H28" s="219"/>
      <c r="I28" s="215"/>
      <c r="J28" s="216"/>
      <c r="K28" s="216"/>
      <c r="L28" s="161"/>
    </row>
    <row r="29" spans="2:12" ht="12.75" customHeight="1">
      <c r="B29" s="212"/>
      <c r="C29" s="212"/>
      <c r="D29" s="220"/>
      <c r="E29" s="220" t="s">
        <v>80</v>
      </c>
      <c r="F29" s="575">
        <f>SUM(F26:J28)</f>
        <v>1455</v>
      </c>
      <c r="G29" s="575"/>
      <c r="H29" s="214"/>
      <c r="I29" s="215"/>
      <c r="J29" s="216"/>
      <c r="K29" s="216"/>
      <c r="L29" s="161"/>
    </row>
    <row r="30" spans="2:11" s="161" customFormat="1" ht="12.75" customHeight="1">
      <c r="B30" s="170"/>
      <c r="C30" s="221"/>
      <c r="D30" s="221" t="s">
        <v>35</v>
      </c>
      <c r="E30" s="222">
        <v>0.18</v>
      </c>
      <c r="F30" s="566">
        <f>E30*F29</f>
        <v>261.9</v>
      </c>
      <c r="G30" s="566"/>
      <c r="H30" s="214"/>
      <c r="I30" s="215"/>
      <c r="J30" s="216"/>
      <c r="K30" s="216"/>
    </row>
    <row r="31" spans="2:10" s="161" customFormat="1" ht="12.75" customHeight="1">
      <c r="B31" s="170"/>
      <c r="C31" s="170"/>
      <c r="D31" s="170"/>
      <c r="E31" s="221" t="s">
        <v>33</v>
      </c>
      <c r="F31" s="572">
        <f>SUM(F29:J30)</f>
        <v>1716.9</v>
      </c>
      <c r="G31" s="573"/>
      <c r="H31" s="223"/>
      <c r="I31" s="216"/>
      <c r="J31" s="216"/>
    </row>
    <row r="33" spans="2:4" ht="12.75" customHeight="1">
      <c r="B33" s="224" t="s">
        <v>11</v>
      </c>
      <c r="C33" s="225"/>
      <c r="D33" s="225"/>
    </row>
    <row r="34" spans="2:4" ht="12.75" customHeight="1">
      <c r="B34" s="225"/>
      <c r="C34" s="225"/>
      <c r="D34" s="225"/>
    </row>
    <row r="35" spans="2:7" ht="12.75" customHeight="1">
      <c r="B35" s="226" t="s">
        <v>0</v>
      </c>
      <c r="C35" s="227"/>
      <c r="D35" s="228"/>
      <c r="E35" s="217"/>
      <c r="F35" s="217"/>
      <c r="G35" s="217"/>
    </row>
    <row r="36" spans="2:9" ht="12.75" customHeight="1">
      <c r="B36" s="226" t="s">
        <v>1</v>
      </c>
      <c r="C36" s="229"/>
      <c r="D36" s="228"/>
      <c r="E36" s="217"/>
      <c r="F36" s="217"/>
      <c r="G36" s="217"/>
      <c r="H36" s="212"/>
      <c r="I36" s="212"/>
    </row>
    <row r="37" spans="2:12" ht="12.75" customHeight="1">
      <c r="B37" s="226" t="s">
        <v>2</v>
      </c>
      <c r="C37" s="229"/>
      <c r="D37" s="228"/>
      <c r="E37" s="217"/>
      <c r="F37" s="217"/>
      <c r="G37" s="217"/>
      <c r="L37" s="212"/>
    </row>
    <row r="38" spans="2:12" ht="12.75" customHeight="1">
      <c r="B38" s="230"/>
      <c r="C38" s="230"/>
      <c r="D38" s="231"/>
      <c r="E38" s="231"/>
      <c r="F38" s="232"/>
      <c r="G38" s="232"/>
      <c r="H38" s="232"/>
      <c r="I38" s="233"/>
      <c r="J38" s="233"/>
      <c r="K38" s="233"/>
      <c r="L38" s="233"/>
    </row>
    <row r="39" spans="2:9" s="161" customFormat="1" ht="38.25" hidden="1">
      <c r="B39" s="152" t="s">
        <v>7</v>
      </c>
      <c r="C39" s="234" t="s">
        <v>53</v>
      </c>
      <c r="D39" s="152" t="s">
        <v>8</v>
      </c>
      <c r="E39" s="152" t="s">
        <v>10</v>
      </c>
      <c r="F39" s="551" t="s">
        <v>48</v>
      </c>
      <c r="G39" s="552"/>
      <c r="H39" s="165"/>
      <c r="I39" s="152" t="s">
        <v>67</v>
      </c>
    </row>
    <row r="40" spans="2:10" s="161" customFormat="1" ht="12.75" hidden="1">
      <c r="B40" s="153">
        <f>IF(F2&lt;150,150,F2)</f>
        <v>250</v>
      </c>
      <c r="C40" s="167">
        <f>C11</f>
        <v>268</v>
      </c>
      <c r="D40" s="235">
        <f>$I$8-($F$3-$B$8)*($I$8-$I$9)/($B$9-$B$8)</f>
        <v>0.000493</v>
      </c>
      <c r="E40" s="168">
        <f>G11</f>
        <v>0.6</v>
      </c>
      <c r="F40" s="555">
        <v>1</v>
      </c>
      <c r="G40" s="556"/>
      <c r="H40" s="169"/>
      <c r="I40" s="236">
        <f>(ROUND(B40*C40*D40*E40*F40,0))</f>
        <v>20</v>
      </c>
      <c r="J40" s="170"/>
    </row>
    <row r="41" spans="2:12" ht="9.75" customHeight="1" hidden="1">
      <c r="B41" s="237"/>
      <c r="C41" s="237"/>
      <c r="D41" s="238"/>
      <c r="E41" s="238"/>
      <c r="F41" s="217"/>
      <c r="G41" s="238"/>
      <c r="H41" s="238"/>
      <c r="I41" s="239"/>
      <c r="J41" s="212"/>
      <c r="K41" s="239"/>
      <c r="L41" s="239"/>
    </row>
    <row r="42" spans="2:12" ht="42.75" customHeight="1">
      <c r="B42" s="567" t="s">
        <v>49</v>
      </c>
      <c r="C42" s="568"/>
      <c r="D42" s="240" t="s">
        <v>56</v>
      </c>
      <c r="E42" s="241" t="s">
        <v>51</v>
      </c>
      <c r="F42" s="191"/>
      <c r="G42" s="242" t="s">
        <v>56</v>
      </c>
      <c r="H42" s="536" t="s">
        <v>36</v>
      </c>
      <c r="I42" s="537"/>
      <c r="J42" s="243"/>
      <c r="K42" s="242" t="s">
        <v>56</v>
      </c>
      <c r="L42" s="241" t="s">
        <v>52</v>
      </c>
    </row>
    <row r="43" spans="2:12" ht="12.75" customHeight="1">
      <c r="B43" s="557" t="s">
        <v>83</v>
      </c>
      <c r="C43" s="542"/>
      <c r="D43" s="195">
        <f>IF($D$16=0,0,100%)</f>
        <v>1</v>
      </c>
      <c r="E43" s="244">
        <f>IF($D$16=0,0,$I$40)</f>
        <v>20</v>
      </c>
      <c r="F43" s="245"/>
      <c r="G43" s="246">
        <f>IF($G$16=0,0,100%)</f>
        <v>1</v>
      </c>
      <c r="H43" s="538">
        <f>IF($G$16=0,0,$I$40)</f>
        <v>20</v>
      </c>
      <c r="I43" s="535"/>
      <c r="J43" s="245"/>
      <c r="K43" s="246">
        <f>IF($K$16=0,0,100%)</f>
        <v>1</v>
      </c>
      <c r="L43" s="247">
        <f>IF(K16=0,0,'DENETİM ÜCRETLERİ'!$P$66)</f>
        <v>17</v>
      </c>
    </row>
    <row r="44" spans="1:12" ht="12.75" customHeight="1">
      <c r="A44" s="248"/>
      <c r="B44" s="557">
        <f>IF($D$16&lt;2,0,"2. Uygulama     :")</f>
        <v>0</v>
      </c>
      <c r="C44" s="542"/>
      <c r="D44" s="195">
        <f>IF($D$16&lt;2,0,50%)</f>
        <v>0</v>
      </c>
      <c r="E44" s="249">
        <f>IF($D$16&gt;=2,$E$43*D44,0)</f>
        <v>0</v>
      </c>
      <c r="F44" s="245"/>
      <c r="G44" s="246">
        <f>IF($G$16&lt;2,0,100%)</f>
        <v>0</v>
      </c>
      <c r="H44" s="539">
        <f>IF($G$16&gt;=2,$H$43*G44,0)</f>
        <v>0</v>
      </c>
      <c r="I44" s="540"/>
      <c r="J44" s="245"/>
      <c r="K44" s="246">
        <f>IF($K$16&lt;2,0,50%)</f>
        <v>0</v>
      </c>
      <c r="L44" s="250">
        <f>IF($K$16&gt;=2,$L$43*K44,0)</f>
        <v>0</v>
      </c>
    </row>
    <row r="45" spans="1:12" ht="12.75" customHeight="1">
      <c r="A45" s="248"/>
      <c r="B45" s="557">
        <f>IF($D$16&lt;3,0,"3. Uygulama     :")</f>
        <v>0</v>
      </c>
      <c r="C45" s="542"/>
      <c r="D45" s="195">
        <f>IF($D$16&lt;3,0,25%)</f>
        <v>0</v>
      </c>
      <c r="E45" s="250">
        <f>IF($D$16&gt;=3,$E$43*D45,0)</f>
        <v>0</v>
      </c>
      <c r="F45" s="245"/>
      <c r="G45" s="246">
        <f>IF($G$16&lt;3,0,100%)</f>
        <v>0</v>
      </c>
      <c r="H45" s="539">
        <f>IF($G$16&gt;=3,$H$43*G45,0)</f>
        <v>0</v>
      </c>
      <c r="I45" s="540"/>
      <c r="J45" s="245"/>
      <c r="K45" s="246">
        <f>IF($K$16&lt;3,0,25%)</f>
        <v>0</v>
      </c>
      <c r="L45" s="249">
        <f>IF($K$16&gt;=3,$L$43*K45,0)</f>
        <v>0</v>
      </c>
    </row>
    <row r="46" spans="2:12" ht="12.75" customHeight="1">
      <c r="B46" s="541">
        <f>IF($D$16&lt;4,0,C14)</f>
        <v>0</v>
      </c>
      <c r="C46" s="542"/>
      <c r="D46" s="200">
        <f>IF($D$16&lt;4,0,15%)</f>
        <v>0</v>
      </c>
      <c r="E46" s="249">
        <f>IF($D$16&gt;=4,$E$43*D46*($D$16-3),0)</f>
        <v>0</v>
      </c>
      <c r="F46" s="245"/>
      <c r="G46" s="246">
        <f>IF($G$16&lt;4,0,100%)</f>
        <v>0</v>
      </c>
      <c r="H46" s="539">
        <f>IF($G$16&gt;=4,$H$43*G46*($G$16-3),0)</f>
        <v>0</v>
      </c>
      <c r="I46" s="540"/>
      <c r="J46" s="245"/>
      <c r="K46" s="251">
        <f>IF($K$16&lt;4,0,15%)</f>
        <v>0</v>
      </c>
      <c r="L46" s="249">
        <f>IF($K$16&gt;=4,$L$43*K46*($K$16-3),0)</f>
        <v>0</v>
      </c>
    </row>
    <row r="47" spans="2:12" ht="12.75" customHeight="1">
      <c r="B47" s="252"/>
      <c r="C47" s="203"/>
      <c r="D47" s="204" t="str">
        <f>IF($D$16=0,0,D48)</f>
        <v>Toplam     =</v>
      </c>
      <c r="E47" s="253">
        <f>SUM(E43:E46)</f>
        <v>20</v>
      </c>
      <c r="F47" s="254"/>
      <c r="G47" s="204" t="str">
        <f>IF($G$16=0,0,G48)</f>
        <v>Toplam   =</v>
      </c>
      <c r="H47" s="534">
        <f>SUM(H43:H46)</f>
        <v>20</v>
      </c>
      <c r="I47" s="535"/>
      <c r="J47" s="254"/>
      <c r="K47" s="209" t="str">
        <f>IF($K$16=0,0,K48)</f>
        <v>Toplam   =</v>
      </c>
      <c r="L47" s="255">
        <f>SUM(L43:L46)</f>
        <v>17</v>
      </c>
    </row>
    <row r="48" spans="2:12" ht="12.75" customHeight="1" hidden="1">
      <c r="B48" s="252"/>
      <c r="C48" s="208"/>
      <c r="D48" s="204" t="s">
        <v>62</v>
      </c>
      <c r="E48" s="256"/>
      <c r="F48" s="257"/>
      <c r="G48" s="209" t="s">
        <v>61</v>
      </c>
      <c r="H48" s="204"/>
      <c r="I48" s="256"/>
      <c r="J48" s="257"/>
      <c r="K48" s="209" t="s">
        <v>61</v>
      </c>
      <c r="L48" s="256"/>
    </row>
    <row r="49" spans="2:12" ht="12.75" customHeight="1">
      <c r="B49" s="252"/>
      <c r="C49" s="208"/>
      <c r="D49" s="208"/>
      <c r="E49" s="223"/>
      <c r="F49" s="257"/>
      <c r="G49" s="208"/>
      <c r="H49" s="208"/>
      <c r="I49" s="223"/>
      <c r="J49" s="257"/>
      <c r="K49" s="208"/>
      <c r="L49" s="223"/>
    </row>
    <row r="50" spans="2:12" ht="12.75" customHeight="1">
      <c r="B50" s="252"/>
      <c r="C50" s="208"/>
      <c r="D50" s="208"/>
      <c r="E50" s="223"/>
      <c r="F50" s="257"/>
      <c r="G50" s="208"/>
      <c r="H50" s="208"/>
      <c r="I50" s="223"/>
      <c r="J50" s="257"/>
      <c r="K50" s="208"/>
      <c r="L50" s="223"/>
    </row>
    <row r="51" spans="2:12" ht="12.75" customHeight="1">
      <c r="B51" s="258"/>
      <c r="C51" s="259"/>
      <c r="D51" s="260"/>
      <c r="E51" s="212"/>
      <c r="F51" s="212"/>
      <c r="G51" s="212"/>
      <c r="H51" s="212"/>
      <c r="I51" s="212"/>
      <c r="J51" s="212"/>
      <c r="K51" s="212"/>
      <c r="L51" s="261"/>
    </row>
    <row r="52" spans="2:12" ht="12.75" customHeight="1">
      <c r="B52" s="569" t="s">
        <v>37</v>
      </c>
      <c r="C52" s="569"/>
      <c r="D52" s="262">
        <f>ROUNDUP(E47,0)</f>
        <v>20</v>
      </c>
      <c r="E52" s="263"/>
      <c r="F52" s="264"/>
      <c r="G52" s="212"/>
      <c r="H52" s="212"/>
      <c r="I52" s="212"/>
      <c r="J52" s="212"/>
      <c r="K52" s="212"/>
      <c r="L52" s="261"/>
    </row>
    <row r="53" spans="2:10" ht="12.75" customHeight="1">
      <c r="B53" s="569" t="s">
        <v>34</v>
      </c>
      <c r="C53" s="569"/>
      <c r="D53" s="262">
        <f>ROUNDUP(H47,0)</f>
        <v>20</v>
      </c>
      <c r="E53" s="263"/>
      <c r="F53" s="264"/>
      <c r="G53" s="216"/>
      <c r="H53" s="216"/>
      <c r="I53" s="216"/>
      <c r="J53" s="216"/>
    </row>
    <row r="54" spans="2:12" ht="12.75" customHeight="1">
      <c r="B54" s="569" t="s">
        <v>32</v>
      </c>
      <c r="C54" s="569"/>
      <c r="D54" s="262">
        <f>ROUNDUP(L47,0)</f>
        <v>17</v>
      </c>
      <c r="E54" s="263"/>
      <c r="F54" s="264"/>
      <c r="G54" s="216"/>
      <c r="H54" s="216"/>
      <c r="J54" s="265" t="s">
        <v>4</v>
      </c>
      <c r="L54" s="212"/>
    </row>
    <row r="55" spans="2:12" ht="12.75" customHeight="1">
      <c r="B55" s="565" t="s">
        <v>38</v>
      </c>
      <c r="C55" s="565"/>
      <c r="D55" s="266">
        <f>SUM(D52:D54)</f>
        <v>57</v>
      </c>
      <c r="E55" s="267"/>
      <c r="F55" s="264"/>
      <c r="G55" s="223"/>
      <c r="H55" s="223"/>
      <c r="J55" s="265" t="s">
        <v>12</v>
      </c>
      <c r="L55" s="212"/>
    </row>
    <row r="56" spans="2:8" ht="12.75" customHeight="1">
      <c r="B56" s="268"/>
      <c r="C56" s="269"/>
      <c r="D56" s="270"/>
      <c r="E56" s="271"/>
      <c r="F56" s="269"/>
      <c r="G56" s="272"/>
      <c r="H56" s="272"/>
    </row>
    <row r="57" spans="2:8" ht="12.75" customHeight="1">
      <c r="B57" s="273"/>
      <c r="G57" s="269"/>
      <c r="H57" s="269"/>
    </row>
    <row r="58" ht="12.75" customHeight="1">
      <c r="B58" s="273"/>
    </row>
  </sheetData>
  <sheetProtection password="AD2F" sheet="1"/>
  <mergeCells count="48">
    <mergeCell ref="F39:G39"/>
    <mergeCell ref="G15:I15"/>
    <mergeCell ref="F31:G31"/>
    <mergeCell ref="F28:G28"/>
    <mergeCell ref="F29:G29"/>
    <mergeCell ref="F30:G30"/>
    <mergeCell ref="H19:I19"/>
    <mergeCell ref="B55:C55"/>
    <mergeCell ref="F27:G27"/>
    <mergeCell ref="B45:C45"/>
    <mergeCell ref="B43:C43"/>
    <mergeCell ref="B44:C44"/>
    <mergeCell ref="B42:C42"/>
    <mergeCell ref="F40:G40"/>
    <mergeCell ref="B52:C52"/>
    <mergeCell ref="B53:C53"/>
    <mergeCell ref="B54:C54"/>
    <mergeCell ref="K15:L15"/>
    <mergeCell ref="D5:E5"/>
    <mergeCell ref="C3:E3"/>
    <mergeCell ref="B22:C22"/>
    <mergeCell ref="J10:K10"/>
    <mergeCell ref="J11:K11"/>
    <mergeCell ref="B21:C21"/>
    <mergeCell ref="B2:E2"/>
    <mergeCell ref="B4:E4"/>
    <mergeCell ref="H10:I10"/>
    <mergeCell ref="B28:E28"/>
    <mergeCell ref="B26:E26"/>
    <mergeCell ref="F26:G26"/>
    <mergeCell ref="H11:I11"/>
    <mergeCell ref="B19:C19"/>
    <mergeCell ref="B20:C20"/>
    <mergeCell ref="D15:E15"/>
    <mergeCell ref="B46:C46"/>
    <mergeCell ref="H44:I44"/>
    <mergeCell ref="H45:I45"/>
    <mergeCell ref="H16:I16"/>
    <mergeCell ref="H22:I22"/>
    <mergeCell ref="H23:I23"/>
    <mergeCell ref="H17:I17"/>
    <mergeCell ref="H21:I21"/>
    <mergeCell ref="H20:I20"/>
    <mergeCell ref="B17:C17"/>
    <mergeCell ref="H47:I47"/>
    <mergeCell ref="H42:I42"/>
    <mergeCell ref="H43:I43"/>
    <mergeCell ref="H46:I46"/>
  </mergeCells>
  <dataValidations count="3">
    <dataValidation type="whole" allowBlank="1" showInputMessage="1" showErrorMessage="1" prompt="Blok Adedini Giriniz" sqref="F1">
      <formula1>1</formula1>
      <formula2>1000</formula2>
    </dataValidation>
    <dataValidation allowBlank="1" showInputMessage="1" showErrorMessage="1" prompt="İnşaat Alanını Giriniz" sqref="F3"/>
    <dataValidation type="list" allowBlank="1" showInputMessage="1" showErrorMessage="1" prompt="Listeden Yapı Maliyeti Sınıfı  Seçiniz" error="Yapı Maliyeti Sınıfı Listeden Seçiniz" sqref="F5">
      <formula1>"1,2,3A,3B,4A,4B,4C,5A,5B,5C,5D"</formula1>
    </dataValidation>
  </dataValidations>
  <printOptions/>
  <pageMargins left="0.5118110236220472" right="0.1968503937007874" top="0.5118110236220472" bottom="0.4724409448818898" header="0.5118110236220472" footer="0.4724409448818898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LÜTFÜ KAHVECİOĞLU</dc:creator>
  <cp:keywords/>
  <dc:description/>
  <cp:lastModifiedBy>Pc</cp:lastModifiedBy>
  <cp:lastPrinted>2009-06-30T13:06:40Z</cp:lastPrinted>
  <dcterms:created xsi:type="dcterms:W3CDTF">2000-05-29T07:59:09Z</dcterms:created>
  <dcterms:modified xsi:type="dcterms:W3CDTF">2009-06-30T13:20:18Z</dcterms:modified>
  <cp:category/>
  <cp:version/>
  <cp:contentType/>
  <cp:contentStatus/>
</cp:coreProperties>
</file>